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ink/ink1.xml" ContentType="application/inkml+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ЭтаКнига"/>
  <mc:AlternateContent xmlns:mc="http://schemas.openxmlformats.org/markup-compatibility/2006">
    <mc:Choice Requires="x15">
      <x15ac:absPath xmlns:x15ac="http://schemas.microsoft.com/office/spreadsheetml/2010/11/ac" url="C:\Users\Lenovo 13\Desktop\"/>
    </mc:Choice>
  </mc:AlternateContent>
  <xr:revisionPtr revIDLastSave="0" documentId="13_ncr:1_{EB4C38BD-C1C4-421C-9990-F79C3015B06B}" xr6:coauthVersionLast="47" xr6:coauthVersionMax="47" xr10:uidLastSave="{00000000-0000-0000-0000-000000000000}"/>
  <bookViews>
    <workbookView xWindow="-120" yWindow="-120" windowWidth="38640" windowHeight="21240" tabRatio="852" firstSheet="1" activeTab="2" xr2:uid="{00000000-000D-0000-FFFF-FFFF00000000}"/>
  </bookViews>
  <sheets>
    <sheet name="Данные" sheetId="2" state="hidden" r:id="rId1"/>
    <sheet name="Световые полки LT10,11 LT30,31" sheetId="11" r:id="rId2"/>
    <sheet name="Фасады серии MZ,MF" sheetId="1" r:id="rId3"/>
    <sheet name="Схема присадки фасадов" sheetId="9" r:id="rId4"/>
    <sheet name="MZ" sheetId="8" state="hidden" r:id="rId5"/>
    <sheet name="MF" sheetId="7" state="hidden" r:id="rId6"/>
    <sheet name="LT10,30" sheetId="5" state="hidden" r:id="rId7"/>
    <sheet name="СТЕКЛО" sheetId="3" state="hidden" r:id="rId8"/>
    <sheet name="ГС" sheetId="6" state="hidden" r:id="rId9"/>
    <sheet name="КС нов" sheetId="4" state="hidden" r:id="rId10"/>
    <sheet name="Фото петель" sheetId="10" r:id="rId11"/>
    <sheet name="Фото наполнений" sheetId="14" r:id="rId12"/>
    <sheet name="Расчет размеров наполнения" sheetId="15" r:id="rId13"/>
    <sheet name="О порядках приёмки и претензий" sheetId="13" r:id="rId14"/>
  </sheets>
  <definedNames>
    <definedName name="_xlnm._FilterDatabase" localSheetId="2" hidden="1">'Фасады серии MZ,MF'!$A$1:$AL$17</definedName>
    <definedName name="ВИД_С_ЛИЦЕВОЙ_СТОРОНЫ" comment="2210">'Схема присадки фасадов'!$V$31:$AO$59</definedName>
    <definedName name="курс">'Фасады серии MZ,MF'!$O$4</definedName>
    <definedName name="курсLT">'Световые полки LT10,11 LT30,31'!$K$3</definedName>
    <definedName name="_xlnm.Print_Area" localSheetId="1">'Световые полки LT10,11 LT30,31'!$A$1:$AA$23</definedName>
    <definedName name="_xlnm.Print_Area" localSheetId="7">СТЕКЛО!$A$1:$C$177</definedName>
    <definedName name="_xlnm.Print_Area" localSheetId="3">'Схема присадки фасадов'!$V$1:$BJ$120</definedName>
    <definedName name="_xlnm.Print_Area" localSheetId="2">'Фасады серии MZ,MF'!$A$1:$AK$28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 i="11" l="1"/>
  <c r="O1" i="1"/>
  <c r="C23" i="7"/>
  <c r="C22" i="7"/>
  <c r="C21" i="7"/>
  <c r="C20" i="7"/>
  <c r="C93" i="7"/>
  <c r="C92" i="7"/>
  <c r="C73" i="7"/>
  <c r="C72" i="7"/>
  <c r="C62" i="7"/>
  <c r="C61" i="7"/>
  <c r="C60" i="7"/>
  <c r="C59" i="7"/>
  <c r="C58" i="7"/>
  <c r="C57" i="7"/>
  <c r="C56" i="7"/>
  <c r="C55" i="7"/>
  <c r="C54" i="7"/>
  <c r="C53" i="7"/>
  <c r="C52" i="7"/>
  <c r="C51" i="7"/>
  <c r="C50" i="7"/>
  <c r="C110" i="8"/>
  <c r="C109" i="8"/>
  <c r="C108" i="8"/>
  <c r="C106" i="8"/>
  <c r="C105" i="8"/>
  <c r="C104" i="8"/>
  <c r="C103" i="8"/>
  <c r="C102" i="8"/>
  <c r="C101" i="8"/>
  <c r="C100" i="8"/>
  <c r="C99" i="8"/>
  <c r="C98" i="8"/>
  <c r="C97" i="8"/>
  <c r="C96" i="8"/>
  <c r="C95" i="8"/>
  <c r="C93" i="8"/>
  <c r="C92" i="8"/>
  <c r="C91" i="8"/>
  <c r="C90" i="8"/>
  <c r="C89" i="8"/>
  <c r="C88" i="8"/>
  <c r="C87" i="8"/>
  <c r="C86" i="8"/>
  <c r="C85" i="8"/>
  <c r="C112" i="8"/>
  <c r="C167" i="3"/>
  <c r="C158" i="3"/>
  <c r="C154" i="3"/>
  <c r="C149" i="3"/>
  <c r="C145" i="3"/>
  <c r="C141" i="3"/>
  <c r="C137" i="3"/>
  <c r="C132" i="3"/>
  <c r="C128" i="3"/>
  <c r="C124" i="3"/>
  <c r="C120" i="3"/>
  <c r="C116" i="3"/>
  <c r="C112" i="3"/>
  <c r="C108" i="3"/>
  <c r="C106" i="3"/>
  <c r="C102" i="3"/>
  <c r="C98" i="3"/>
  <c r="C94" i="3"/>
  <c r="C90" i="3"/>
  <c r="C86" i="3"/>
  <c r="C82" i="3"/>
  <c r="C78" i="3"/>
  <c r="C73" i="3"/>
  <c r="C69" i="3"/>
  <c r="C65" i="3"/>
  <c r="C61" i="3"/>
  <c r="C57" i="3"/>
  <c r="C53" i="3"/>
  <c r="C48" i="3"/>
  <c r="C44" i="3"/>
  <c r="C40" i="3"/>
  <c r="C36" i="3"/>
  <c r="C32" i="3"/>
  <c r="C28" i="3"/>
  <c r="C24" i="3"/>
  <c r="C20" i="3"/>
  <c r="C16" i="3"/>
  <c r="C12" i="3"/>
  <c r="C8" i="3"/>
  <c r="C3" i="3"/>
  <c r="C79" i="8"/>
  <c r="C3" i="8"/>
  <c r="C4" i="8"/>
  <c r="C5" i="8"/>
  <c r="C6" i="8"/>
  <c r="C78" i="8"/>
  <c r="C77" i="8"/>
  <c r="C76" i="8"/>
  <c r="C75" i="8"/>
  <c r="C69" i="8"/>
  <c r="C68" i="8"/>
  <c r="C67" i="8"/>
  <c r="C66" i="8"/>
  <c r="C65" i="8"/>
  <c r="C64" i="8"/>
  <c r="C63" i="8"/>
  <c r="C62" i="8"/>
  <c r="C61" i="8"/>
  <c r="C60" i="8"/>
  <c r="C59" i="8"/>
  <c r="C57" i="8"/>
  <c r="C56" i="8"/>
  <c r="C55" i="8"/>
  <c r="C54" i="8"/>
  <c r="C53" i="8"/>
  <c r="C52" i="8"/>
  <c r="C51" i="8"/>
  <c r="C50" i="8"/>
  <c r="C49" i="8"/>
  <c r="C48" i="8"/>
  <c r="C46" i="8"/>
  <c r="C45" i="8"/>
  <c r="C44" i="8"/>
  <c r="C43" i="8"/>
  <c r="C42" i="8"/>
  <c r="C41" i="8"/>
  <c r="C40" i="8"/>
  <c r="C38" i="8"/>
  <c r="C36" i="8"/>
  <c r="C35" i="8"/>
  <c r="C34" i="8"/>
  <c r="C33" i="8"/>
  <c r="C31" i="8"/>
  <c r="C30" i="8"/>
  <c r="C29" i="8"/>
  <c r="C28" i="8"/>
  <c r="C27" i="8"/>
  <c r="C26" i="8"/>
  <c r="C25" i="8"/>
  <c r="C24" i="8"/>
  <c r="C23" i="8"/>
  <c r="C22" i="8"/>
  <c r="C21" i="8"/>
  <c r="C19" i="8"/>
  <c r="C18" i="8"/>
  <c r="C17" i="8"/>
  <c r="C16" i="8"/>
  <c r="C15" i="8"/>
  <c r="C13" i="8"/>
  <c r="C12" i="8"/>
  <c r="C11" i="8"/>
  <c r="C10" i="8"/>
  <c r="C9" i="8"/>
  <c r="C8" i="8"/>
  <c r="C7" i="8"/>
  <c r="O8" i="1"/>
  <c r="X8" i="1" s="1"/>
  <c r="O9" i="1"/>
  <c r="X9" i="1" s="1"/>
  <c r="O10" i="1"/>
  <c r="X10" i="1" s="1"/>
  <c r="O11" i="1"/>
  <c r="X11" i="1" s="1"/>
  <c r="O12" i="1"/>
  <c r="X12" i="1" s="1"/>
  <c r="O13" i="1"/>
  <c r="X13" i="1" s="1"/>
  <c r="O14" i="1"/>
  <c r="X14" i="1" s="1"/>
  <c r="O15" i="1"/>
  <c r="X15" i="1" s="1"/>
  <c r="O16" i="1"/>
  <c r="X16" i="1" s="1"/>
  <c r="K5" i="11"/>
  <c r="O5" i="11" s="1"/>
  <c r="K6" i="11"/>
  <c r="T6" i="11" s="1"/>
  <c r="K7" i="11"/>
  <c r="T7" i="11" s="1"/>
  <c r="K8" i="11"/>
  <c r="R8" i="11" s="1"/>
  <c r="K9" i="11"/>
  <c r="U9" i="11" s="1"/>
  <c r="K10" i="11"/>
  <c r="N10" i="11" s="1"/>
  <c r="K11" i="11"/>
  <c r="S11" i="11" s="1"/>
  <c r="K12" i="11"/>
  <c r="W12" i="11" s="1"/>
  <c r="K13" i="11"/>
  <c r="O13" i="11" s="1"/>
  <c r="K14" i="11"/>
  <c r="T14" i="11" s="1"/>
  <c r="K15" i="11"/>
  <c r="T15" i="11" s="1"/>
  <c r="K4" i="11"/>
  <c r="W4" i="11" s="1"/>
  <c r="W9" i="1" l="1"/>
  <c r="W13" i="1"/>
  <c r="W16" i="1"/>
  <c r="W12" i="1"/>
  <c r="W8" i="1"/>
  <c r="W15" i="1"/>
  <c r="W11" i="1"/>
  <c r="W14" i="1"/>
  <c r="W10" i="1"/>
  <c r="T11" i="11"/>
  <c r="Q11" i="11" s="1"/>
  <c r="T10" i="11"/>
  <c r="Q10" i="11" s="1"/>
  <c r="T13" i="11"/>
  <c r="Q13" i="11" s="1"/>
  <c r="T12" i="11"/>
  <c r="Q12" i="11" s="1"/>
  <c r="P11" i="1"/>
  <c r="P15" i="1"/>
  <c r="P14" i="1"/>
  <c r="P12" i="1"/>
  <c r="P13" i="1"/>
  <c r="P10" i="1"/>
  <c r="P9" i="1"/>
  <c r="P16" i="1"/>
  <c r="P8" i="1"/>
  <c r="T8" i="11"/>
  <c r="T9" i="11"/>
  <c r="Q9" i="11" s="1"/>
  <c r="T4" i="11"/>
  <c r="T5" i="11"/>
  <c r="Q5" i="11" s="1"/>
  <c r="Q15" i="11"/>
  <c r="Q14" i="11"/>
  <c r="S15" i="11"/>
  <c r="S10" i="11"/>
  <c r="S8" i="11"/>
  <c r="P8" i="11" s="1"/>
  <c r="S7" i="11"/>
  <c r="S12" i="11"/>
  <c r="S9" i="11"/>
  <c r="S14" i="11"/>
  <c r="S6" i="11"/>
  <c r="S4" i="11"/>
  <c r="S13" i="11"/>
  <c r="S5" i="11"/>
  <c r="R12" i="11"/>
  <c r="R11" i="11"/>
  <c r="P11" i="11" s="1"/>
  <c r="R10" i="11"/>
  <c r="R9" i="11"/>
  <c r="R4" i="11"/>
  <c r="R15" i="11"/>
  <c r="R7" i="11"/>
  <c r="R14" i="11"/>
  <c r="R6" i="11"/>
  <c r="R13" i="11"/>
  <c r="R5" i="11"/>
  <c r="W7" i="11"/>
  <c r="N6" i="11"/>
  <c r="W9" i="11"/>
  <c r="O11" i="11"/>
  <c r="W15" i="11"/>
  <c r="O10" i="11"/>
  <c r="W10" i="11"/>
  <c r="O9" i="11"/>
  <c r="W8" i="11"/>
  <c r="W6" i="11"/>
  <c r="N15" i="11"/>
  <c r="U15" i="11"/>
  <c r="N14" i="11"/>
  <c r="O8" i="11"/>
  <c r="U14" i="11"/>
  <c r="N8" i="11"/>
  <c r="O7" i="11"/>
  <c r="Q7" i="11" s="1"/>
  <c r="U7" i="11"/>
  <c r="O15" i="11"/>
  <c r="N7" i="11"/>
  <c r="U6" i="11"/>
  <c r="N9" i="11"/>
  <c r="O12" i="11"/>
  <c r="U8" i="11"/>
  <c r="W11" i="11"/>
  <c r="N11" i="11"/>
  <c r="O14" i="11"/>
  <c r="O6" i="11"/>
  <c r="U10" i="11"/>
  <c r="W13" i="11"/>
  <c r="W5" i="11"/>
  <c r="U13" i="11"/>
  <c r="U5" i="11"/>
  <c r="N13" i="11"/>
  <c r="N5" i="11"/>
  <c r="U12" i="11"/>
  <c r="N12" i="11"/>
  <c r="U11" i="11"/>
  <c r="W14" i="11"/>
  <c r="U4" i="11"/>
  <c r="N4" i="11"/>
  <c r="O4" i="11"/>
  <c r="C70" i="3"/>
  <c r="C71" i="3"/>
  <c r="C72" i="3"/>
  <c r="C66" i="3"/>
  <c r="C67" i="3"/>
  <c r="C68" i="3"/>
  <c r="C54" i="3"/>
  <c r="C55" i="3"/>
  <c r="C56" i="3"/>
  <c r="C58" i="3"/>
  <c r="C59" i="3"/>
  <c r="C60" i="3"/>
  <c r="R13" i="1"/>
  <c r="AL13" i="1" s="1"/>
  <c r="S13" i="1"/>
  <c r="AF13" i="1"/>
  <c r="AG13" i="1"/>
  <c r="AH13" i="1"/>
  <c r="AI13" i="1"/>
  <c r="R14" i="1"/>
  <c r="S14" i="1"/>
  <c r="AF14" i="1"/>
  <c r="AG14" i="1"/>
  <c r="AH14" i="1"/>
  <c r="AI14" i="1"/>
  <c r="R15" i="1"/>
  <c r="S15" i="1"/>
  <c r="AF15" i="1"/>
  <c r="AG15" i="1"/>
  <c r="AH15" i="1"/>
  <c r="AI15" i="1"/>
  <c r="R16" i="1"/>
  <c r="AL16" i="1" s="1"/>
  <c r="S16" i="1"/>
  <c r="AF16" i="1"/>
  <c r="AG16" i="1"/>
  <c r="AH16" i="1"/>
  <c r="AI16" i="1"/>
  <c r="P15" i="11" l="1"/>
  <c r="P9" i="11"/>
  <c r="P10" i="11"/>
  <c r="P13" i="11"/>
  <c r="Q8" i="11"/>
  <c r="P4" i="11"/>
  <c r="Q6" i="11"/>
  <c r="P5" i="11"/>
  <c r="P12" i="11"/>
  <c r="P14" i="11"/>
  <c r="Q4" i="11"/>
  <c r="P7" i="11"/>
  <c r="P6" i="11"/>
  <c r="AL15" i="1"/>
  <c r="AL14" i="1"/>
  <c r="L13" i="11"/>
  <c r="M13" i="11" s="1"/>
  <c r="L14" i="11"/>
  <c r="M14" i="11" s="1"/>
  <c r="L12" i="11"/>
  <c r="M12" i="11" s="1"/>
  <c r="L11" i="11"/>
  <c r="M11" i="11" s="1"/>
  <c r="L15" i="11"/>
  <c r="M15" i="11" s="1"/>
  <c r="AJ16" i="1"/>
  <c r="AJ14" i="1"/>
  <c r="AJ15" i="1"/>
  <c r="AJ13" i="1"/>
  <c r="Y13" i="1" l="1"/>
  <c r="AA13" i="1"/>
  <c r="AD13" i="1"/>
  <c r="AE13" i="1"/>
  <c r="Z13" i="1"/>
  <c r="V13" i="1" s="1"/>
  <c r="AC13" i="1"/>
  <c r="U13" i="1" s="1"/>
  <c r="AB13" i="1"/>
  <c r="AB16" i="1"/>
  <c r="Q16" i="1"/>
  <c r="AD16" i="1"/>
  <c r="Y16" i="1"/>
  <c r="AE16" i="1"/>
  <c r="AA16" i="1"/>
  <c r="Z16" i="1"/>
  <c r="V16" i="1" s="1"/>
  <c r="AC16" i="1"/>
  <c r="U16" i="1" s="1"/>
  <c r="AC14" i="1"/>
  <c r="U14" i="1" s="1"/>
  <c r="AC15" i="1"/>
  <c r="U15" i="1" s="1"/>
  <c r="AB14" i="1"/>
  <c r="AB15" i="1"/>
  <c r="Z15" i="1"/>
  <c r="V15" i="1" s="1"/>
  <c r="Y15" i="1"/>
  <c r="AA15" i="1"/>
  <c r="AE15" i="1"/>
  <c r="AD15" i="1"/>
  <c r="AA14" i="1"/>
  <c r="AD14" i="1"/>
  <c r="Z14" i="1"/>
  <c r="V14" i="1" s="1"/>
  <c r="AE14" i="1"/>
  <c r="Y14" i="1"/>
  <c r="AG6" i="1"/>
  <c r="AG7" i="1"/>
  <c r="AG8" i="1"/>
  <c r="AG9" i="1"/>
  <c r="AG10" i="1"/>
  <c r="AG11" i="1"/>
  <c r="AG12" i="1"/>
  <c r="AG5" i="1"/>
  <c r="AI6" i="1"/>
  <c r="AI7" i="1"/>
  <c r="AI8" i="1"/>
  <c r="AI9" i="1"/>
  <c r="AI10" i="1"/>
  <c r="AI11" i="1"/>
  <c r="AI12" i="1"/>
  <c r="AI5" i="1"/>
  <c r="AH6" i="1"/>
  <c r="AH7" i="1"/>
  <c r="AH8" i="1"/>
  <c r="AH9" i="1"/>
  <c r="AH10" i="1"/>
  <c r="AH11" i="1"/>
  <c r="AH12" i="1"/>
  <c r="AH5" i="1"/>
  <c r="AF6" i="1"/>
  <c r="AF7" i="1"/>
  <c r="AF8" i="1"/>
  <c r="AF9" i="1"/>
  <c r="AF10" i="1"/>
  <c r="AF11" i="1"/>
  <c r="AF12" i="1"/>
  <c r="S6" i="1"/>
  <c r="S7" i="1"/>
  <c r="S8" i="1"/>
  <c r="S9" i="1"/>
  <c r="S10" i="1"/>
  <c r="S11" i="1"/>
  <c r="S12" i="1"/>
  <c r="S5" i="1"/>
  <c r="C40" i="4"/>
  <c r="L91" i="6"/>
  <c r="L90" i="6"/>
  <c r="L89" i="6"/>
  <c r="L88" i="6"/>
  <c r="L87" i="6"/>
  <c r="L86" i="6"/>
  <c r="O5" i="1" l="1"/>
  <c r="T15" i="1"/>
  <c r="T16" i="1"/>
  <c r="T13" i="1"/>
  <c r="T14" i="1"/>
  <c r="Q13" i="1"/>
  <c r="Q15" i="1"/>
  <c r="Q14" i="1"/>
  <c r="L10" i="11"/>
  <c r="M10" i="11" s="1"/>
  <c r="AJ9" i="1"/>
  <c r="AJ8" i="1"/>
  <c r="AJ11" i="1"/>
  <c r="AJ10" i="1"/>
  <c r="AJ12" i="1"/>
  <c r="AJ5" i="1"/>
  <c r="AJ7" i="1"/>
  <c r="O7" i="1" s="1"/>
  <c r="W7" i="1" s="1"/>
  <c r="AJ6" i="1"/>
  <c r="O6" i="1" s="1"/>
  <c r="W6" i="1" s="1"/>
  <c r="L93" i="6"/>
  <c r="X7" i="1" l="1"/>
  <c r="X6" i="1"/>
  <c r="X5" i="1"/>
  <c r="Z5" i="1"/>
  <c r="V5" i="1" s="1"/>
  <c r="T8" i="1"/>
  <c r="AC8" i="1"/>
  <c r="U8" i="1" s="1"/>
  <c r="AC9" i="1"/>
  <c r="U9" i="1" s="1"/>
  <c r="AC6" i="1"/>
  <c r="U6" i="1" s="1"/>
  <c r="AC5" i="1"/>
  <c r="U5" i="1" s="1"/>
  <c r="AC7" i="1"/>
  <c r="U7" i="1" s="1"/>
  <c r="AC10" i="1"/>
  <c r="U10" i="1" s="1"/>
  <c r="AC11" i="1"/>
  <c r="U11" i="1" s="1"/>
  <c r="AC12" i="1"/>
  <c r="U12" i="1" s="1"/>
  <c r="Y11" i="1"/>
  <c r="AB11" i="1"/>
  <c r="AD11" i="1"/>
  <c r="AA11" i="1"/>
  <c r="Z11" i="1"/>
  <c r="V11" i="1" s="1"/>
  <c r="AE11" i="1"/>
  <c r="AB8" i="1"/>
  <c r="AB12" i="1"/>
  <c r="AB9" i="1"/>
  <c r="AB6" i="1"/>
  <c r="AB5" i="1"/>
  <c r="AB7" i="1"/>
  <c r="AB10" i="1"/>
  <c r="AD12" i="1"/>
  <c r="Z12" i="1"/>
  <c r="V12" i="1" s="1"/>
  <c r="AE12" i="1"/>
  <c r="AA12" i="1"/>
  <c r="Y12" i="1"/>
  <c r="L9" i="11"/>
  <c r="M9" i="11" s="1"/>
  <c r="L5" i="11"/>
  <c r="M5" i="11" s="1"/>
  <c r="L8" i="11"/>
  <c r="M8" i="11" s="1"/>
  <c r="Y7" i="1"/>
  <c r="AD9" i="1"/>
  <c r="AD5" i="1"/>
  <c r="AE5" i="1"/>
  <c r="Y5" i="1"/>
  <c r="T11" i="1" l="1"/>
  <c r="T12" i="1"/>
  <c r="T9" i="1"/>
  <c r="T10" i="1"/>
  <c r="L6" i="11"/>
  <c r="M6" i="11" s="1"/>
  <c r="L7" i="11"/>
  <c r="M7" i="11" s="1"/>
  <c r="AE7" i="1"/>
  <c r="Z10" i="1"/>
  <c r="V10" i="1" s="1"/>
  <c r="AE9" i="1"/>
  <c r="AE10" i="1"/>
  <c r="AA6" i="1"/>
  <c r="Z7" i="1"/>
  <c r="V7" i="1" s="1"/>
  <c r="Z9" i="1"/>
  <c r="V9" i="1" s="1"/>
  <c r="AA7" i="1"/>
  <c r="AD10" i="1"/>
  <c r="AD6" i="1"/>
  <c r="AD7" i="1"/>
  <c r="Y10" i="1"/>
  <c r="Y6" i="1"/>
  <c r="AA9" i="1"/>
  <c r="Z6" i="1"/>
  <c r="V6" i="1" s="1"/>
  <c r="Y9" i="1"/>
  <c r="AA10" i="1"/>
  <c r="AE6" i="1"/>
  <c r="AA8" i="1"/>
  <c r="AD8" i="1"/>
  <c r="Z8" i="1"/>
  <c r="V8" i="1" s="1"/>
  <c r="AE8" i="1"/>
  <c r="Y8" i="1"/>
  <c r="R6" i="1"/>
  <c r="P6" i="1" s="1"/>
  <c r="R7" i="1"/>
  <c r="R8" i="1"/>
  <c r="R9" i="1"/>
  <c r="R10" i="1"/>
  <c r="R11" i="1"/>
  <c r="R12" i="1"/>
  <c r="C42" i="6"/>
  <c r="C43" i="6" s="1"/>
  <c r="C18" i="4"/>
  <c r="C19" i="4" s="1"/>
  <c r="P7" i="1" l="1"/>
  <c r="Q7" i="1" s="1"/>
  <c r="Q6" i="1"/>
  <c r="T7" i="1"/>
  <c r="T6" i="1"/>
  <c r="AL11" i="1"/>
  <c r="Q11" i="1"/>
  <c r="AL10" i="1"/>
  <c r="Q10" i="1"/>
  <c r="AL9" i="1"/>
  <c r="Q9" i="1"/>
  <c r="AL8" i="1"/>
  <c r="Q8" i="1"/>
  <c r="AL12" i="1"/>
  <c r="Q12" i="1"/>
  <c r="AL7" i="1"/>
  <c r="AL6" i="1"/>
  <c r="R5" i="1" l="1"/>
  <c r="W5" i="1" s="1"/>
  <c r="T5" i="1" l="1"/>
  <c r="AF5" i="1"/>
  <c r="AA5" i="1" s="1"/>
  <c r="P5" i="1" s="1"/>
  <c r="AL5" i="1"/>
  <c r="Q5" i="1" l="1"/>
  <c r="Q17" i="1" s="1"/>
  <c r="L4" i="11"/>
  <c r="L16" i="11" s="1"/>
  <c r="P17" i="1" l="1"/>
  <c r="M4" i="11"/>
  <c r="M16" i="11" s="1"/>
</calcChain>
</file>

<file path=xl/sharedStrings.xml><?xml version="1.0" encoding="utf-8"?>
<sst xmlns="http://schemas.openxmlformats.org/spreadsheetml/2006/main" count="1393" uniqueCount="506">
  <si>
    <t>Цвет профиля</t>
  </si>
  <si>
    <t>Тип профиля</t>
  </si>
  <si>
    <t>коньяк А07</t>
  </si>
  <si>
    <t>серебро А00</t>
  </si>
  <si>
    <t>шампань А06</t>
  </si>
  <si>
    <t>белый А16</t>
  </si>
  <si>
    <t>черный браш АВ05</t>
  </si>
  <si>
    <t>шампань браш АВ06</t>
  </si>
  <si>
    <t>титан А18</t>
  </si>
  <si>
    <t>серебро браш АВ00</t>
  </si>
  <si>
    <t>золото браш АВ20</t>
  </si>
  <si>
    <t>петли</t>
  </si>
  <si>
    <t>только присадка</t>
  </si>
  <si>
    <t>без присадки</t>
  </si>
  <si>
    <t>варианты наполнения</t>
  </si>
  <si>
    <t>без наполнения</t>
  </si>
  <si>
    <t>Зеркало СЕРЕБРО</t>
  </si>
  <si>
    <t>Зеркало СЕРЕБРО осветленное</t>
  </si>
  <si>
    <t>Зеркало БРОНЗА</t>
  </si>
  <si>
    <t>Зеркало матированное СЕРЕБРО</t>
  </si>
  <si>
    <t>Зеркало матированное БРОНЗА</t>
  </si>
  <si>
    <t>Стекло прозрачное</t>
  </si>
  <si>
    <t>Стекло осветленное</t>
  </si>
  <si>
    <t>черный матовый А05</t>
  </si>
  <si>
    <t>Z1,Z8</t>
  </si>
  <si>
    <t>Z4</t>
  </si>
  <si>
    <t>Z3</t>
  </si>
  <si>
    <t>Z5</t>
  </si>
  <si>
    <t>Z9</t>
  </si>
  <si>
    <t>Z12</t>
  </si>
  <si>
    <t>+10</t>
  </si>
  <si>
    <t>Z13</t>
  </si>
  <si>
    <t>Z17</t>
  </si>
  <si>
    <t>Led</t>
  </si>
  <si>
    <t>19 верх, -21 низ+отв D=21мм</t>
  </si>
  <si>
    <t>Кол-во фасадов</t>
  </si>
  <si>
    <t>MF 30</t>
  </si>
  <si>
    <t>MF 20</t>
  </si>
  <si>
    <t>подгонка                                 (Z-12, Z-17, Z-19, Z-20), м.п</t>
  </si>
  <si>
    <t>Диаметр отверстий в стекле</t>
  </si>
  <si>
    <t>D=7мм</t>
  </si>
  <si>
    <t>D=8мм</t>
  </si>
  <si>
    <t>ОК</t>
  </si>
  <si>
    <t>ширина фацета</t>
  </si>
  <si>
    <t>5мм</t>
  </si>
  <si>
    <t>10мм</t>
  </si>
  <si>
    <t>15мм</t>
  </si>
  <si>
    <t>20мм</t>
  </si>
  <si>
    <t>25мм</t>
  </si>
  <si>
    <t>30мм</t>
  </si>
  <si>
    <t>Выбор типа профиля</t>
  </si>
  <si>
    <t>Выбор цвета профиля</t>
  </si>
  <si>
    <t>Высота фасада</t>
  </si>
  <si>
    <t>Ширина фасада</t>
  </si>
  <si>
    <t>Дополнительная обработка стекла</t>
  </si>
  <si>
    <t>диаметр отверстий, мм</t>
  </si>
  <si>
    <t>Выбор наполнения</t>
  </si>
  <si>
    <t>Выбор петель</t>
  </si>
  <si>
    <t>Параметры фасада</t>
  </si>
  <si>
    <t>Вид петли</t>
  </si>
  <si>
    <t>Вид стекла</t>
  </si>
  <si>
    <t>Прайс-лист на стекло</t>
  </si>
  <si>
    <t>толщина, мм</t>
  </si>
  <si>
    <t>Цена за м2</t>
  </si>
  <si>
    <t>Стекло солцезащитное СТОПСОЛ</t>
  </si>
  <si>
    <t>4 мм</t>
  </si>
  <si>
    <t>5-6 мм</t>
  </si>
  <si>
    <t>8-10 мм</t>
  </si>
  <si>
    <t>Сверление отверстий</t>
  </si>
  <si>
    <t>Закалка стекла</t>
  </si>
  <si>
    <t>4-6 мм</t>
  </si>
  <si>
    <t>8 мм</t>
  </si>
  <si>
    <t>10 мм</t>
  </si>
  <si>
    <t>Прайс-лист на каркасную систему MODUS</t>
  </si>
  <si>
    <t>заказ</t>
  </si>
  <si>
    <t>Профиль KS</t>
  </si>
  <si>
    <t>Профиль для каркасной системы основной KS1, черный матовый А05, м.п</t>
  </si>
  <si>
    <t>Профиль для каркасной системы под дсп KS2/N, черный матовый А05, м.п</t>
  </si>
  <si>
    <t>Комплектующие KS</t>
  </si>
  <si>
    <t>Заглушка для KS, черный матовый А05, шт</t>
  </si>
  <si>
    <t>Полкодержатель-пружинный для KS, шт</t>
  </si>
  <si>
    <t>Дополнительная комплектация</t>
  </si>
  <si>
    <t>Прайс-лист на световые полки LT20, LT30 MODUS</t>
  </si>
  <si>
    <t>Работа</t>
  </si>
  <si>
    <t>Сборка световой полки LT30</t>
  </si>
  <si>
    <t>Прайс-лист на гардеробную систему MODUS</t>
  </si>
  <si>
    <t>Цвет серебро А00</t>
  </si>
  <si>
    <t>Цвет черный матовый А05</t>
  </si>
  <si>
    <t>Прайс-лист на фасады серии MF MODUS</t>
  </si>
  <si>
    <t>Сборка фасада MF20</t>
  </si>
  <si>
    <t>*В стоимость профиля входит стоимость уплотнителя</t>
  </si>
  <si>
    <t>Прайс-лист на фасады серии MZ MODUS</t>
  </si>
  <si>
    <t>Профиль MZ01</t>
  </si>
  <si>
    <t>Профиль MZ04</t>
  </si>
  <si>
    <t>Профиль MZ09</t>
  </si>
  <si>
    <t>Профиль MZ12</t>
  </si>
  <si>
    <t>Профиль MZ13</t>
  </si>
  <si>
    <t>Профиль MZ17</t>
  </si>
  <si>
    <t>Сборка+уголки+фрез.под петли, 1 фасад</t>
  </si>
  <si>
    <t>стоимость петель</t>
  </si>
  <si>
    <t>стоимость отверстий</t>
  </si>
  <si>
    <t>стоимость втулок</t>
  </si>
  <si>
    <t>стоимость подгонки</t>
  </si>
  <si>
    <t>Втулки для отверстий в стекле</t>
  </si>
  <si>
    <t>6-7мм</t>
  </si>
  <si>
    <t>стоимость наполненния</t>
  </si>
  <si>
    <t>Salice AIR Push для MF20, титан</t>
  </si>
  <si>
    <t>Salice AIR Push для MF20, никель</t>
  </si>
  <si>
    <t>метраж профиля</t>
  </si>
  <si>
    <t>площадь наполнения</t>
  </si>
  <si>
    <t xml:space="preserve">Стекло тонированное DARK GREY </t>
  </si>
  <si>
    <t>Стекло тонированное СЕРОЕ</t>
  </si>
  <si>
    <t>Примечание</t>
  </si>
  <si>
    <t>стоимость работ</t>
  </si>
  <si>
    <t>MF 20/21</t>
  </si>
  <si>
    <t>MF 30/31</t>
  </si>
  <si>
    <t>Петля BLUM для MZ01/08</t>
  </si>
  <si>
    <t>Петля BLUM для MZ03/04/09/12/13/17/19/20</t>
  </si>
  <si>
    <t>Параметры изделия</t>
  </si>
  <si>
    <t>тип профиля</t>
  </si>
  <si>
    <t>выбор цвета профиля</t>
  </si>
  <si>
    <t>цвет профиля</t>
  </si>
  <si>
    <t>наличие подсветки</t>
  </si>
  <si>
    <t>по передней стороне</t>
  </si>
  <si>
    <t>по периметру</t>
  </si>
  <si>
    <t>без подсветки</t>
  </si>
  <si>
    <t>стоимость наполнения</t>
  </si>
  <si>
    <t>стоимость профиля</t>
  </si>
  <si>
    <t>Профиль LT30/31</t>
  </si>
  <si>
    <t>LT30 (без подсветки)</t>
  </si>
  <si>
    <t>LT30/31 (подсветка по передней стороне)</t>
  </si>
  <si>
    <t>D=</t>
  </si>
  <si>
    <t>!!! ВИД С ЛИЦЕВОЙ СТОРОНЫ !!!</t>
  </si>
  <si>
    <t>черный</t>
  </si>
  <si>
    <t>ширина полки, мм</t>
  </si>
  <si>
    <t>глубина полки, мм</t>
  </si>
  <si>
    <t>кол-во полок, шт</t>
  </si>
  <si>
    <t>LT31 (подсветка по периметру)</t>
  </si>
  <si>
    <t>стоимость закалки</t>
  </si>
  <si>
    <t>без закалки</t>
  </si>
  <si>
    <t>закаленное стекло</t>
  </si>
  <si>
    <t>закалка</t>
  </si>
  <si>
    <t>закалка стекла</t>
  </si>
  <si>
    <t>*Стоимость работы входит в стоимость углов.</t>
  </si>
  <si>
    <t>цена</t>
  </si>
  <si>
    <t xml:space="preserve">цена </t>
  </si>
  <si>
    <t>стоимость фасада, руб</t>
  </si>
  <si>
    <t>Примечания</t>
  </si>
  <si>
    <t>никель</t>
  </si>
  <si>
    <t>Накладная clip top blumotion 71B950A</t>
  </si>
  <si>
    <t>Накладная clip top 71T950A</t>
  </si>
  <si>
    <t xml:space="preserve">Накладная clip top 71T950A </t>
  </si>
  <si>
    <t>Полунакладная clip top blumotion 71B960A</t>
  </si>
  <si>
    <t>Полунакладная clip top 71T960A</t>
  </si>
  <si>
    <t>Вкладная clip top blumotion 71B970A</t>
  </si>
  <si>
    <t>Вкладная clip top 71T970A</t>
  </si>
  <si>
    <t>ДЛЯ УЗКИХ АЛЮМИНИЕВЫХ РАМОК</t>
  </si>
  <si>
    <t>ДЛЯ ШИРОКИХ АЛЮМИНИЕВЫХ РАМОК</t>
  </si>
  <si>
    <t>БЕЗ ПРУЖИНЫ</t>
  </si>
  <si>
    <t>Полунакладная без пружины clip top 70Т3650.TL</t>
  </si>
  <si>
    <t>Накладная без пружины clip top 70Т3550.TL</t>
  </si>
  <si>
    <t>Накладная без пружины clip top 70T950A.TL</t>
  </si>
  <si>
    <t>Вкладная без пружины clip top 70Т3750.TL</t>
  </si>
  <si>
    <t>Накладная clip top blumotion 71B3550</t>
  </si>
  <si>
    <t xml:space="preserve">Накладная clip top 71T3550 </t>
  </si>
  <si>
    <t xml:space="preserve">Полунакладная clip top blumotion 71B3650 </t>
  </si>
  <si>
    <t xml:space="preserve">Полунакладная clip top 71T3650 </t>
  </si>
  <si>
    <t xml:space="preserve">Вкладная clip top blumotion 71B3750 </t>
  </si>
  <si>
    <t>Вкладная clip top 71T3750</t>
  </si>
  <si>
    <t>MZ 01</t>
  </si>
  <si>
    <t>MZ 04</t>
  </si>
  <si>
    <t>MZ 09</t>
  </si>
  <si>
    <t>MZ 12</t>
  </si>
  <si>
    <t>MZ 13</t>
  </si>
  <si>
    <t>MZ 17</t>
  </si>
  <si>
    <t>ЗАКАЗ №</t>
  </si>
  <si>
    <t>КЛИЕНТ</t>
  </si>
  <si>
    <t>- укажите размер</t>
  </si>
  <si>
    <t>MZ 02</t>
  </si>
  <si>
    <t>MZ 07</t>
  </si>
  <si>
    <t>MZ 10</t>
  </si>
  <si>
    <t>белый матовый Р11</t>
  </si>
  <si>
    <t>Профиль MZ02</t>
  </si>
  <si>
    <t>Профиль MZ07</t>
  </si>
  <si>
    <t>Профиль MZ10</t>
  </si>
  <si>
    <t>общее кол-во отверстий в стекле, шт</t>
  </si>
  <si>
    <t xml:space="preserve">общее кол-во втулок, шт </t>
  </si>
  <si>
    <t xml:space="preserve">Для фасадов из профиля MZ07: прозрачное наполнение(стекло) применяется при использовании петель BLUM 71B950A. В остальных случаях(использование других петель) применяется только непрозрачное наполнение(стекло). </t>
  </si>
  <si>
    <r>
      <t xml:space="preserve">Для сборки фасадов серии MF в качестве наполнения используется стекло только с </t>
    </r>
    <r>
      <rPr>
        <b/>
        <u/>
        <sz val="10"/>
        <color rgb="FFFF0000"/>
        <rFont val="Arial"/>
        <family val="2"/>
        <charset val="204"/>
      </rPr>
      <t>необработанным торцом.</t>
    </r>
  </si>
  <si>
    <t>Присадка под Т902</t>
  </si>
  <si>
    <t>Сборка+уголки под Т902+фрезеровка под петли(1 створка) только для MZ04</t>
  </si>
  <si>
    <t>Blum Накл(уз.пр) clip top blumotion 71B950A никель</t>
  </si>
  <si>
    <t>Blum Накл(уз.пр) clip top 71T950A никель</t>
  </si>
  <si>
    <t>Blum Накл(уз.пр) clip top 71T950A черный</t>
  </si>
  <si>
    <t>Blum Накл(уз.пр) без пружины clip top 70T950A.TL никель</t>
  </si>
  <si>
    <t>Blum Полунакл(уз.пр) clip top blumotion 71B960A никель</t>
  </si>
  <si>
    <t>Blum Полунакл(уз.пр) clip top 71T960A никель</t>
  </si>
  <si>
    <t>Blum Вкладн(уз.пр) clip top blumotion 71B970A никель</t>
  </si>
  <si>
    <t>Blum Вкладн(уз.пр) clip top 71T970A никель</t>
  </si>
  <si>
    <t>Blum Накл(шир.пр) clip top blumotion 71B3550 никель</t>
  </si>
  <si>
    <t>Blum Накл(шир.пр) clip top blumotion 71B3550 черный</t>
  </si>
  <si>
    <t>Blum Накл(шир.пр) clip top 71T3550 никель</t>
  </si>
  <si>
    <t>Blum Накл без пружины(шир.пр) clip top 70Т3550.TL никель</t>
  </si>
  <si>
    <t>Blum Полунакл(шир.пр) clip top blumotion 71B3650 никель</t>
  </si>
  <si>
    <t>Blum Полунакл(шир.пр) clip top blumotion 71B3650 черный</t>
  </si>
  <si>
    <t>Blum Полунакл(шир.пр) clip top 71T3650 никель</t>
  </si>
  <si>
    <t>Blum Полунакл(шир.пр) без пружины clip top 70Т3650.TL никель</t>
  </si>
  <si>
    <t>Blum Вкладн(шир.пр) clip top blumotion 71B3750 никель</t>
  </si>
  <si>
    <t>Blum Вкладн(шир.пр) clip top blumotion 71B3750 черный</t>
  </si>
  <si>
    <t>Blum Вкладн(шир.пр) clip top 71T3750 никель</t>
  </si>
  <si>
    <t>Blum Вкладн без пружины(шир.пр) clip top 70Т3750.TL никель</t>
  </si>
  <si>
    <t>Hettich Накл(уз.пр) с доводчиком никель</t>
  </si>
  <si>
    <t>Hettich Накл(уз.пр) с доводчиком черный</t>
  </si>
  <si>
    <t>Hettich Вкладн(уз.пр) с доводчиком никель</t>
  </si>
  <si>
    <t>Петля Hettich для MZ01/08</t>
  </si>
  <si>
    <t>защитная фолия</t>
  </si>
  <si>
    <t>Защитная фолия</t>
  </si>
  <si>
    <t>оклейка фолией</t>
  </si>
  <si>
    <t>без оклейки</t>
  </si>
  <si>
    <t>стоимость фолии</t>
  </si>
  <si>
    <t>Оклейка фолией</t>
  </si>
  <si>
    <t>латунь АВ21</t>
  </si>
  <si>
    <t>Рекомендуемые максимальные размеры для  LT20 - 1000*300</t>
  </si>
  <si>
    <t>Рекомендуемые максимальные размеры для  LT30/31 - 1000*500</t>
  </si>
  <si>
    <t>*В стоимость работы входит стоимость углов для LT30/31</t>
  </si>
  <si>
    <t>инокс АВ04</t>
  </si>
  <si>
    <t>Рекомендуемые максимальные размеры для  MF20/21 - 2100*500</t>
  </si>
  <si>
    <t>Рекомендуемые максимальные размеры для  MF30/31 - 2100*500</t>
  </si>
  <si>
    <t>Дата готовности</t>
  </si>
  <si>
    <t>Профиль PA02 угловой с креплениями: (UPA), пол(KPP01), стена(KPP02)- высота 2,4м, 1 шт</t>
  </si>
  <si>
    <t>Профиль PA02 угловой с креплениями: (UPA), пол(KPP01), стена(KPP02)- высота 2,7м, 1 шт</t>
  </si>
  <si>
    <t>Профиль PA02 с креплениеми: пол (KPP01), потолок (KPP02)- высота  до 3м , 1 шт</t>
  </si>
  <si>
    <t>Набор креплений (PDD, ZK03) для полки из дсп, комплект для 1 полки</t>
  </si>
  <si>
    <t>Набор креплений (PDS, ZK03) для полки из стекла, комплект для 1 полки</t>
  </si>
  <si>
    <t>набор креплений (PDN, ZK03) для наклонной полки из дсп, комплект для 1 полки</t>
  </si>
  <si>
    <t>Штанга овальная (TR01) с креплениями (D20, ZK03),  до 1м</t>
  </si>
  <si>
    <t>Штанга прямоугольная (TP) без паза под подсветку, с креплениями (DТ01, ZK05),  до 1м</t>
  </si>
  <si>
    <t>Штанга прямоугольная (TP) c пазом под подсветку, с креплениями (DТ01, ZK05),  до 1м</t>
  </si>
  <si>
    <t>Набор креплений(K046, ZK03) для навесного элемента с 2 выдвижными ящиками,1 компл(4шт)</t>
  </si>
  <si>
    <t>Набор креплений(K046, ZK03) для навесного элемента с 4 выдвижными ящиками,1 компл(8шт)</t>
  </si>
  <si>
    <t>стоимость шлифовки</t>
  </si>
  <si>
    <t>Вес</t>
  </si>
  <si>
    <t>Упаковка</t>
  </si>
  <si>
    <t>упаковка</t>
  </si>
  <si>
    <t>да</t>
  </si>
  <si>
    <t>нет</t>
  </si>
  <si>
    <t>Стекло Сталь серая (ШПИОН)</t>
  </si>
  <si>
    <t>Цвет латунь АВ21</t>
  </si>
  <si>
    <t>Профиль для каркасной системы основной KS1, латунь АВ21, м.п</t>
  </si>
  <si>
    <t>Профиль для каркасной системы под дсп KS2/N, латунь АВ21, м.п</t>
  </si>
  <si>
    <t>Уголок соединительный 2L для KS, черный матовый А05, латунь АВ21, шт</t>
  </si>
  <si>
    <t>Уголок соединительный 3L для KS, черный матовый А05, латунь АВ21, шт</t>
  </si>
  <si>
    <t>Уголок соединительный 4L для KS, черный матовый А05, латунь АВ21, шт</t>
  </si>
  <si>
    <t>Уголок соединительный 5L для KS, черный матовый А05, латунь АВ21, шт</t>
  </si>
  <si>
    <t>Уплотнитель под стекло KSU для профиля KS2/N, черный, м.п</t>
  </si>
  <si>
    <t>Сборка КС- количество углов</t>
  </si>
  <si>
    <t>*Сборка каркасной системы +0,5 х количество углов</t>
  </si>
  <si>
    <t>Подпятник регулируемый</t>
  </si>
  <si>
    <t>MF 20/22</t>
  </si>
  <si>
    <t>MF 30/32</t>
  </si>
  <si>
    <t>MF 50/51/52</t>
  </si>
  <si>
    <t>MF 60/61/62</t>
  </si>
  <si>
    <t>Петля MODUS серии MF20 (2шт) Soft черный</t>
  </si>
  <si>
    <t>Петля серии MF50 270* (2шт) черный матовый</t>
  </si>
  <si>
    <t>Петля серии MF50 270* (2шт) латунь</t>
  </si>
  <si>
    <t>*В стоимость работы по MF30, MF50, MF60  входят стоимость углов и фрезеровка под петли</t>
  </si>
  <si>
    <t>Заказ №               Клиент             Дата готовности</t>
  </si>
  <si>
    <t>курс</t>
  </si>
  <si>
    <t>Набор креплений (PК01,02,03, ZK03) для полки из алюминия, комплект для 1 полки</t>
  </si>
  <si>
    <t>LT10</t>
  </si>
  <si>
    <t>LT11</t>
  </si>
  <si>
    <t>LT10/11 (подсветка по передней стороне)</t>
  </si>
  <si>
    <t>Сборка световой полки LT10</t>
  </si>
  <si>
    <t>Blum Накл(уз.пр) без пружины clip top 70T950A.TL черный</t>
  </si>
  <si>
    <t>http://ал-декор.рф/Izgotovlenie-alyuminievih-fasadov/</t>
  </si>
  <si>
    <t>ВНИМАНИЕ !</t>
  </si>
  <si>
    <r>
      <rPr>
        <b/>
        <sz val="10"/>
        <color theme="1"/>
        <rFont val="Arial"/>
        <family val="2"/>
        <charset val="204"/>
      </rPr>
      <t>*</t>
    </r>
    <r>
      <rPr>
        <sz val="10"/>
        <color theme="1"/>
        <rFont val="Arial"/>
        <family val="2"/>
        <charset val="204"/>
      </rPr>
      <t>В стоимость работы входит стоимость углов для LT30/31</t>
    </r>
  </si>
  <si>
    <t>ВЫ МОЖЕТЕ САМОСТОЯТЕЛЬНО РАСЧИТАТЬ СТОИМОСТЬ РАБОТ ПО ИЗГОТОВЛЕНИЮ ГАРДЕРОБНОЙ СИСТЕМЫ                       ВСТАВЬТЕ ЗНАЧЕНИЕ В СТОЛБЕЦ "КОЛ-ВО"</t>
  </si>
  <si>
    <t>Наименование</t>
  </si>
  <si>
    <t>Стоимость работы</t>
  </si>
  <si>
    <t>Ко-во</t>
  </si>
  <si>
    <t>Сумма</t>
  </si>
  <si>
    <t>РАСПИЛ ВЕРТИКАЛЬНОГО ПРОФИЛЯ БЕЗ ПРИСАДКИ И СБОРКИ</t>
  </si>
  <si>
    <t>РАСПИЛ ВЕРТИКАЛЬНОГО ПРОФИЛЯ БЕЗ ПРИСАДКИ И СБОРКИ В РАЗМЕР (в виде буквы Г)</t>
  </si>
  <si>
    <t>РАСПИЛ ВЕРТИКАЛЬНОГО ПРОФИЛЯ С ПРИСАДКОЙ И СБОРКОЙ (в виде буквы Г)</t>
  </si>
  <si>
    <t>РАСПИЛ ШТАНГИ В РАЗМЕР-50 Р ШТ</t>
  </si>
  <si>
    <t>РАСПИЛ ПРОФИЛЯ ДЛЯ ПОЛОК В РАЗМЕР</t>
  </si>
  <si>
    <t>СБОРКА ПОЛКИ С РАСПИЛОМ В РАЗМЕР</t>
  </si>
  <si>
    <t>И ТОГО:</t>
  </si>
  <si>
    <t>Профиль MZ13-01</t>
  </si>
  <si>
    <t>MZ 13-01</t>
  </si>
  <si>
    <t>MF 20/25</t>
  </si>
  <si>
    <t>MF 30/33</t>
  </si>
  <si>
    <t>MF 30/34</t>
  </si>
  <si>
    <t>MF 30/35</t>
  </si>
  <si>
    <t>MF 70/71/72</t>
  </si>
  <si>
    <t>Петля MODUS для MZ01/08</t>
  </si>
  <si>
    <t>Проверка цвета</t>
  </si>
  <si>
    <t>Тег выбранного профиля</t>
  </si>
  <si>
    <t>узкий</t>
  </si>
  <si>
    <t>широкий</t>
  </si>
  <si>
    <t>любой</t>
  </si>
  <si>
    <t>Тег выбранной петли</t>
  </si>
  <si>
    <t>Проверка совместимости</t>
  </si>
  <si>
    <t>Проверка</t>
  </si>
  <si>
    <t>Стекло тонированное серое</t>
  </si>
  <si>
    <t>Стекло тонированное бронза</t>
  </si>
  <si>
    <t>Стекло рифленое Raywall 90</t>
  </si>
  <si>
    <t>Стекло рифленое Flutelite-B</t>
  </si>
  <si>
    <t>Стекло Aqualite</t>
  </si>
  <si>
    <t>Стекло Flurelit-S</t>
  </si>
  <si>
    <t>Стекло Kathedral Klein</t>
  </si>
  <si>
    <t>Стекло Gothic</t>
  </si>
  <si>
    <t>Стекло</t>
  </si>
  <si>
    <t>Стекло Stopsol Classic Clear</t>
  </si>
  <si>
    <t>Стекло Stopsol Classic Grey</t>
  </si>
  <si>
    <t>Стекло Stopsol Classic Bronze</t>
  </si>
  <si>
    <t>Стекло Stopsol Phoenix Clear</t>
  </si>
  <si>
    <t>Стекло Stopsol Phoenix Grey</t>
  </si>
  <si>
    <t>Стекло Stopsol Phoenix Bronze</t>
  </si>
  <si>
    <t>Зеркало</t>
  </si>
  <si>
    <t>Зеркало бронза</t>
  </si>
  <si>
    <t>Зеркало серебро</t>
  </si>
  <si>
    <t>Зеркало серебро осветленное</t>
  </si>
  <si>
    <t>Зеркало серое (графит)</t>
  </si>
  <si>
    <t>Зеркало матированное серое (графит)</t>
  </si>
  <si>
    <t>Зеркало матированное серебро</t>
  </si>
  <si>
    <t>Зеркало матированное бронза</t>
  </si>
  <si>
    <t>Стекло Лакомат</t>
  </si>
  <si>
    <t>Лакобель</t>
  </si>
  <si>
    <t>Стекло Лакобель 1013</t>
  </si>
  <si>
    <t>Стекло Лакобель 1015</t>
  </si>
  <si>
    <t>Стекло Лакобель 1236</t>
  </si>
  <si>
    <t>Стекло Лакобель 7013</t>
  </si>
  <si>
    <t>Стекло Лакобель 9003</t>
  </si>
  <si>
    <t>Стекло Лакобель 9005</t>
  </si>
  <si>
    <t>Стекло Лакобель 9010</t>
  </si>
  <si>
    <t>Мателюкс</t>
  </si>
  <si>
    <t>Стекло матовое Мателюкс</t>
  </si>
  <si>
    <t>Стекло матовое Мателюкс серое</t>
  </si>
  <si>
    <t>Стекло матовое Мателюкс бронза</t>
  </si>
  <si>
    <t>Стекло матовое Мателюкс осветленное</t>
  </si>
  <si>
    <t>Мателак</t>
  </si>
  <si>
    <t>Стекло Мателак 1013</t>
  </si>
  <si>
    <t>Стекло Мателак 9003</t>
  </si>
  <si>
    <t>Шлифовка кромки стекла</t>
  </si>
  <si>
    <t xml:space="preserve">Полировка кромки стекла </t>
  </si>
  <si>
    <t>Подгонка под Z-12, Z-17, Z-19, Z-20</t>
  </si>
  <si>
    <t>Минимальный размер заготовки 450х450мм. Для производства закаленного стекла детали должны быть обработаны по периметру(шлифовка). Стекла Лакомат, Лакобель, Мателак и зеркала не закаливаются.</t>
  </si>
  <si>
    <t>Отверстия</t>
  </si>
  <si>
    <t>Профили MF20/21/22/25</t>
  </si>
  <si>
    <t>Профили MF30/31/32/33/34/35</t>
  </si>
  <si>
    <t>Профили MF50/51/52</t>
  </si>
  <si>
    <t>ед. измерения</t>
  </si>
  <si>
    <t>MF 21</t>
  </si>
  <si>
    <t>MF 22</t>
  </si>
  <si>
    <t>MF 25</t>
  </si>
  <si>
    <t>хлыст</t>
  </si>
  <si>
    <t>м.п.</t>
  </si>
  <si>
    <t>MF 31</t>
  </si>
  <si>
    <t>MF 32</t>
  </si>
  <si>
    <t>MF 33</t>
  </si>
  <si>
    <t>MF 34</t>
  </si>
  <si>
    <t>MF 35</t>
  </si>
  <si>
    <t>м.п./хлыст</t>
  </si>
  <si>
    <t>м.п./м.п.</t>
  </si>
  <si>
    <t>БЕЛАЯ КЛЕТКА – ЗАПОЛНЯЕМ САМИ ЦЕНУ</t>
  </si>
  <si>
    <t>можно без присадки</t>
  </si>
  <si>
    <t>MF 50</t>
  </si>
  <si>
    <t>MF 51</t>
  </si>
  <si>
    <t>Профили MF60/61/62</t>
  </si>
  <si>
    <t>Профили MF70/71/72</t>
  </si>
  <si>
    <t>MF 60</t>
  </si>
  <si>
    <t>MF 61</t>
  </si>
  <si>
    <t>MF 70</t>
  </si>
  <si>
    <t>MF 71</t>
  </si>
  <si>
    <t>м.п./хлыст/хлыст</t>
  </si>
  <si>
    <t>ЗЕЛЕНАЯ КЛЕТКА – ОСТАВЛЯЕМ БЕЗ ЦЕНЫ</t>
  </si>
  <si>
    <t>размер хлыста</t>
  </si>
  <si>
    <t>MF 52</t>
  </si>
  <si>
    <t>MF 62</t>
  </si>
  <si>
    <t>MF 72</t>
  </si>
  <si>
    <t>Петля серии MF70 270* (2шт) черный матовый</t>
  </si>
  <si>
    <t>Петля серии MF70 270* (2шт) латунь</t>
  </si>
  <si>
    <t>Стекло тонированное БРОНЗА</t>
  </si>
  <si>
    <t>цена, м.п.</t>
  </si>
  <si>
    <t>нельзя закаливать</t>
  </si>
  <si>
    <t>Заказывая у нас алюминиевые фасады и полки, вы подтверждаете, что ознакомились с техническими условиями и требованиями к качеству мебельных фасадов и согласны с ними.</t>
  </si>
  <si>
    <t>Ссылка на требования:</t>
  </si>
  <si>
    <t>Профиль LT10/11</t>
  </si>
  <si>
    <t>Петля MODUS серии MF20 (2шт) Soft никель</t>
  </si>
  <si>
    <t>MZF 63 Накл(уз.пр) с доводчиком темный графит</t>
  </si>
  <si>
    <t>полкодержатели</t>
  </si>
  <si>
    <t>полкодержатель</t>
  </si>
  <si>
    <t>Полкодержатель врезной (металл)</t>
  </si>
  <si>
    <t>Без полкодержателей</t>
  </si>
  <si>
    <t>стоимость полкодержателей</t>
  </si>
  <si>
    <t>LT30</t>
  </si>
  <si>
    <t>LT31</t>
  </si>
  <si>
    <t>Кол-во петель для 1 фасада</t>
  </si>
  <si>
    <t xml:space="preserve">Стоимость заказа:   </t>
  </si>
  <si>
    <t xml:space="preserve">Упаковка </t>
  </si>
  <si>
    <t xml:space="preserve">Стоимость заказа:  </t>
  </si>
  <si>
    <t>вид наполнения</t>
  </si>
  <si>
    <t>Полкодержатель</t>
  </si>
  <si>
    <t>Винные полки</t>
  </si>
  <si>
    <t>винные полки</t>
  </si>
  <si>
    <t>Профиль-трубка VP 16 черный матовый A05</t>
  </si>
  <si>
    <t>Профиль-трубка VP 16 латунь АВ21</t>
  </si>
  <si>
    <t>ООО «Ал-Декор»</t>
  </si>
  <si>
    <t>УВЕДОМЛЕНИЕ ДЛЯ КЛИЕНТОВ </t>
  </si>
  <si>
    <t>О порядке получения товара со склада ООО "Ал-Декор" или при доставке на склад покупатели и сроках предъявления претензий по качеству и количеству.</t>
  </si>
  <si>
    <t>Получаемый товар необходимо проверять на складе продавца в момент его передачи от продавца покупателю. При доставке товара проверка происходит на складе покупателя или непосредственно в момент его передачи покупателю. После приёма товара претензии по количеству не принимаются, по качеству товара рассматриваются в отдельном порядке.
Алюминиевые фасады: приём и проверка по качеству, комплектности и количеству происходит на складе продавца в момент их передачи покупателю. При доставке фасадов проверка происходит на складе покупателя или непосредственно в момент их передачи покупателю. В исключительных случаях при невозможности проверки фасадов в момент получения срок проверки увеличивается до 3 (трёх) рабочих дней, покупатель проверяет их самостоятельно на своём складе. По истечении данного срока претензии по качеству, комплектности и количеству не принимаются.</t>
  </si>
  <si>
    <t>Генеральный директор ООО "Ал-Декор"</t>
  </si>
  <si>
    <t>Лесовников А.Б.</t>
  </si>
  <si>
    <t>стоимость фасада У НАС, руб</t>
  </si>
  <si>
    <t>стоимость фасада MODUS, руб</t>
  </si>
  <si>
    <t>Фрезеровка отверстий под чашку петли</t>
  </si>
  <si>
    <t>Дополнительные услуги</t>
  </si>
  <si>
    <t>количество трубок (для винных полок)</t>
  </si>
  <si>
    <t>Сборка винных полок</t>
  </si>
  <si>
    <t>работа + профиль</t>
  </si>
  <si>
    <t>Сборка фасада MF30, MF60</t>
  </si>
  <si>
    <t>Сборка фасада MF50, MF70</t>
  </si>
  <si>
    <t>Сборка световой полки LT30/31</t>
  </si>
  <si>
    <t>наполнение</t>
  </si>
  <si>
    <t>профиль + работа</t>
  </si>
  <si>
    <t>Полировка кромки стекла</t>
  </si>
  <si>
    <t>Сборка фасада MF20/2</t>
  </si>
  <si>
    <t>Сборка фасада MF30/3</t>
  </si>
  <si>
    <t>Накладная MZF 63 с доводчиком</t>
  </si>
  <si>
    <t>Накладная Hettich Sensys 8631i</t>
  </si>
  <si>
    <t>Несъёмная ответная часть</t>
  </si>
  <si>
    <t>тёмный графит</t>
  </si>
  <si>
    <t>ДЛЯ ПРОФИЛЕЙ MF50/51/52</t>
  </si>
  <si>
    <t>Комплект петель MF50</t>
  </si>
  <si>
    <t>латунь</t>
  </si>
  <si>
    <t>ДЛЯ ПРОФИЛЕЙ MF70/71/72</t>
  </si>
  <si>
    <t>Комплект петель MF70</t>
  </si>
  <si>
    <t>ДЛЯ ПРОФИЛЕЙ MF20/21/22/25</t>
  </si>
  <si>
    <t>Комплект петель MF20</t>
  </si>
  <si>
    <t>титан</t>
  </si>
  <si>
    <t>Комплект петель Salice AIR Push</t>
  </si>
  <si>
    <r>
      <rPr>
        <b/>
        <sz val="12"/>
        <color theme="1"/>
        <rFont val="Calibri"/>
        <family val="2"/>
        <charset val="204"/>
        <scheme val="minor"/>
      </rPr>
      <t>Серия MZ:</t>
    </r>
    <r>
      <rPr>
        <sz val="12"/>
        <color theme="1"/>
        <rFont val="Calibri"/>
        <family val="2"/>
        <charset val="204"/>
        <scheme val="minor"/>
      </rPr>
      <t xml:space="preserve"> Минимальные размеры: 200x200 мм. Рекомендуемые максимальные размеры: — для М2 01, MZ 02 - 2200х450 мм; — для М2 04, М2 09, MZ 10, MZ 12, MZ 13, MZ 19/20 - 2500x550 мм; — для MZ 07- 2200х450 мм; — для М2 17 - 1500х450 мм.</t>
    </r>
  </si>
  <si>
    <r>
      <rPr>
        <b/>
        <sz val="12"/>
        <color theme="1"/>
        <rFont val="Calibri"/>
        <family val="2"/>
        <charset val="204"/>
        <scheme val="minor"/>
      </rPr>
      <t>Серия MF 20/21/22/25:</t>
    </r>
    <r>
      <rPr>
        <sz val="12"/>
        <color theme="1"/>
        <rFont val="Calibri"/>
        <family val="2"/>
        <charset val="204"/>
        <scheme val="minor"/>
      </rPr>
      <t xml:space="preserve"> Присадка под петли делается только в профиле MF 20. – Максимальный вес двери: 20 кг. – Рекомендуемые максимальные размеры двери: высота 2100 мм, ширина 500 мм. – Угол открывания: 105°.</t>
    </r>
  </si>
  <si>
    <r>
      <rPr>
        <b/>
        <sz val="12"/>
        <color theme="1"/>
        <rFont val="Calibri"/>
        <family val="2"/>
        <charset val="204"/>
        <scheme val="minor"/>
      </rPr>
      <t xml:space="preserve">Серия MF 30/31/32/33/34/35: </t>
    </r>
    <r>
      <rPr>
        <sz val="12"/>
        <color theme="1"/>
        <rFont val="Calibri"/>
        <family val="2"/>
        <charset val="204"/>
        <scheme val="minor"/>
      </rPr>
      <t>Максимальный вес двери: 20 кг. – Рекомендуемые максимальные размеры двери: высота 2100 мм, ширина 500 мм.</t>
    </r>
  </si>
  <si>
    <r>
      <rPr>
        <b/>
        <sz val="12"/>
        <color theme="1"/>
        <rFont val="Calibri"/>
        <family val="2"/>
        <charset val="204"/>
        <scheme val="minor"/>
      </rPr>
      <t>Серия MF 50/51/52:</t>
    </r>
    <r>
      <rPr>
        <sz val="12"/>
        <color theme="1"/>
        <rFont val="Calibri"/>
        <family val="2"/>
        <charset val="204"/>
        <scheme val="minor"/>
      </rPr>
      <t xml:space="preserve"> – При использовании профиля MF 52 рекомендуемая высота фасада: 1920 - 2550 мм. – Минимальная ширина фасада: 200 мм. – Максимальная ширина фасада: 550 мм. – Наполнение: стекло 4 мм, ЛДСП 18 мм. – Для установки фасадов используются петли серии MF 50.</t>
    </r>
  </si>
  <si>
    <r>
      <t xml:space="preserve">Серия MF 60/61/62: </t>
    </r>
    <r>
      <rPr>
        <sz val="12"/>
        <color theme="1"/>
        <rFont val="Calibri"/>
        <family val="2"/>
        <charset val="204"/>
        <scheme val="minor"/>
      </rPr>
      <t>Минимальные размеры фасада: 200х200 мм. – Рекомендуемые максимальные размеры: 2500х550 мм. – Наполнение: стекло 4 мм. – Для установки фасадов используются петли для широких алюминиевых рамок.</t>
    </r>
  </si>
  <si>
    <r>
      <t xml:space="preserve">Серия MF 70/71/72: </t>
    </r>
    <r>
      <rPr>
        <sz val="12"/>
        <color theme="1"/>
        <rFont val="Calibri"/>
        <family val="2"/>
        <charset val="204"/>
        <scheme val="minor"/>
      </rPr>
      <t>Рекомендуемая высота фасада: до 2750 мм. – Рекомендуемая ширина фасада: 200 - 550 мм. – Рекомендуемый вес фасада: до 40 кг. – Наполнение: стекло и прочие листовые материалы толщиной 4 мм. Обработка кромок не требуется.</t>
    </r>
  </si>
  <si>
    <t>*В стоимость работы входят стоимость углов и фрезеровка под петли</t>
  </si>
  <si>
    <r>
      <rPr>
        <b/>
        <sz val="12"/>
        <color theme="1"/>
        <rFont val="Calibri"/>
        <family val="2"/>
        <charset val="204"/>
        <scheme val="minor"/>
      </rPr>
      <t xml:space="preserve">Серия LT 30/31: </t>
    </r>
    <r>
      <rPr>
        <sz val="12"/>
        <color theme="1"/>
        <rFont val="Calibri"/>
        <family val="2"/>
        <charset val="204"/>
        <scheme val="minor"/>
      </rPr>
      <t>Рекомендуемые максимальные размеры: 1000х500 мм. Монтаж световой полки в шкаф можно осуществить на саморезы через профиль либо на полкодержатели. Для стыковки профилей LT 30 + LT 31 требуется специальная фрезеровка. Для стыковки профилей LT 30 + LT 30 (LT 31 + LT 31) достаточно запилить их под углом 45°. В качестве наполнения используется стекло толщиной 4 мм. Для расчета размера наполнения используется следующая формула: габарит полки минус 6 мм.</t>
    </r>
  </si>
  <si>
    <r>
      <rPr>
        <b/>
        <sz val="12"/>
        <color theme="1"/>
        <rFont val="Calibri"/>
        <family val="2"/>
        <charset val="204"/>
        <scheme val="minor"/>
      </rPr>
      <t>Серия LT 10/11:</t>
    </r>
    <r>
      <rPr>
        <sz val="12"/>
        <color theme="1"/>
        <rFont val="Calibri"/>
        <family val="2"/>
        <charset val="204"/>
        <scheme val="minor"/>
      </rPr>
      <t xml:space="preserve"> Рекомендуемые максимальные размеры полки: 900х400 мм. Монтаж световой полки в шкаф можно осуществить на саморезы через профиль либо на полкодержатели. Для стыковки профилей требуется специальная фрезеровка.  В качестве наполнения используется стекло толщиной 4 мм.</t>
    </r>
  </si>
  <si>
    <t>Стекло Dark Grey</t>
  </si>
  <si>
    <t>Стекло Flutelit-B</t>
  </si>
  <si>
    <t>Стекло Raywall 90</t>
  </si>
  <si>
    <t>Стекло Сталь Серая (ШПИОН)</t>
  </si>
  <si>
    <t>Стекло тонированное (Бронза)</t>
  </si>
  <si>
    <t>Стекло тонированное (Серый)</t>
  </si>
  <si>
    <r>
      <t>Варианты наполнения</t>
    </r>
    <r>
      <rPr>
        <sz val="22"/>
        <color rgb="FFF47E00"/>
        <rFont val="Arial"/>
        <family val="2"/>
        <charset val="204"/>
      </rPr>
      <t>*</t>
    </r>
  </si>
  <si>
    <r>
      <rPr>
        <sz val="22"/>
        <color theme="5"/>
        <rFont val="Calibri"/>
        <family val="2"/>
        <charset val="204"/>
        <scheme val="minor"/>
      </rPr>
      <t>*</t>
    </r>
    <r>
      <rPr>
        <sz val="22"/>
        <color theme="1"/>
        <rFont val="Calibri"/>
        <family val="2"/>
        <charset val="204"/>
        <scheme val="minor"/>
      </rPr>
      <t xml:space="preserve"> - фото наполнения носит ознакомительный характер</t>
    </r>
  </si>
  <si>
    <t>Зеркало матированное СЕРОЕ (ГРАФИТ)</t>
  </si>
  <si>
    <t>Зеркало СЕРОЕ (ГРАФИТ)</t>
  </si>
  <si>
    <t>Зеркало СЕРЕБРО (осветленное)</t>
  </si>
  <si>
    <t>Стекло ЛАКОМАТ</t>
  </si>
  <si>
    <t>Стекло ЛАКОБЕЛЬ 9010</t>
  </si>
  <si>
    <t>Стекло ЛАКОБЕЛЬ 9005</t>
  </si>
  <si>
    <t>Стекло ЛАКОБЕЛЬ 9003</t>
  </si>
  <si>
    <t>Стекло ЛАКОБЕЛЬ 7013</t>
  </si>
  <si>
    <t>Стекло ЛАКОБЕЛЬ 1236</t>
  </si>
  <si>
    <t>Стекло ЛАКОБЕЛЬ 1015</t>
  </si>
  <si>
    <t>Стекло ЛАКОБЕЛЬ 1013</t>
  </si>
  <si>
    <t>Стекло матовое МАТЕЛЮКС (Бронза)</t>
  </si>
  <si>
    <t>Стекло матовое МАТЕЛЮКС (Серый)</t>
  </si>
  <si>
    <t>Стекло матовое МАТЕЛЮКС (осветленное)</t>
  </si>
  <si>
    <t>Стекло матовое МАТЕЛЮКС</t>
  </si>
  <si>
    <t>Стекло МАТЕЛАК 9003</t>
  </si>
  <si>
    <t>Стекло МАТЕЛАК 1013</t>
  </si>
  <si>
    <t>Профиль</t>
  </si>
  <si>
    <t>Высота</t>
  </si>
  <si>
    <t>Ширина</t>
  </si>
  <si>
    <t>S - Высота фасада</t>
  </si>
  <si>
    <t>L - Ширина фасада</t>
  </si>
  <si>
    <t>S-30</t>
  </si>
  <si>
    <t>S-5</t>
  </si>
  <si>
    <t>S-24</t>
  </si>
  <si>
    <t>S-4</t>
  </si>
  <si>
    <t>S-2</t>
  </si>
  <si>
    <t>S-3</t>
  </si>
  <si>
    <t>L-30</t>
  </si>
  <si>
    <t>L-5</t>
  </si>
  <si>
    <t>L-2</t>
  </si>
  <si>
    <t>L-4</t>
  </si>
  <si>
    <t>L-3</t>
  </si>
  <si>
    <t>L-24</t>
  </si>
  <si>
    <t>L-25.5</t>
  </si>
  <si>
    <t>L-21</t>
  </si>
  <si>
    <t>L-22</t>
  </si>
  <si>
    <t>L-23</t>
  </si>
  <si>
    <t>LT 10</t>
  </si>
  <si>
    <t>LT 10/11</t>
  </si>
  <si>
    <t>LT 30</t>
  </si>
  <si>
    <t>LT 31</t>
  </si>
  <si>
    <t>LT 30/31</t>
  </si>
  <si>
    <t>L-6</t>
  </si>
  <si>
    <t>S-6</t>
  </si>
  <si>
    <t>Расчет размеров наполнения (стекла) для сборки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</si>
</sst>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 #,##0.00\ &quot;₽&quot;_-;\-* #,##0.00\ &quot;₽&quot;_-;_-* &quot;-&quot;??\ &quot;₽&quot;_-;_-@_-"/>
    <numFmt numFmtId="164" formatCode="_-* #,##0.00\ &quot;$&quot;_-;\-* #,##0.00\ &quot;$&quot;_-;_-* &quot;-&quot;??\ &quot;$&quot;_-;_-@_-"/>
    <numFmt numFmtId="165" formatCode="0.0"/>
    <numFmt numFmtId="166" formatCode="_-[$$-409]* #,##0.00_ ;_-[$$-409]* \-#,##0.00\ ;_-[$$-409]* &quot;-&quot;??_ ;_-@_ "/>
    <numFmt numFmtId="167" formatCode="#,##0.00\ &quot;₽&quot;"/>
    <numFmt numFmtId="168" formatCode="#,##0\ [$₽-419];\-#,##0\ [$₽-419]"/>
    <numFmt numFmtId="169" formatCode="#,##0.00_ ;\-#,##0.00\ "/>
    <numFmt numFmtId="170" formatCode="_-[$$-409]* #,##0_ ;_-[$$-409]* \-#,##0\ ;_-[$$-409]* &quot;-&quot;??_ ;_-@_ "/>
    <numFmt numFmtId="171" formatCode="_ * #,##0.00_ \ [$$-C0C]_ ;_ * \-#,##0.00\ \ [$$-C0C]_ ;_ * &quot;-&quot;??_ \ [$$-C0C]_ ;_ @_ "/>
    <numFmt numFmtId="172" formatCode="#,##0\ &quot;₽&quot;"/>
    <numFmt numFmtId="173" formatCode="#,##0.0\ &quot;₽&quot;"/>
    <numFmt numFmtId="174" formatCode="_-* #,##0.00\ [$₽-419]_-;\-* #,##0.00\ [$₽-419]_-;_-* &quot;-&quot;??\ [$₽-419]_-;_-@_-"/>
  </numFmts>
  <fonts count="82">
    <font>
      <sz val="11"/>
      <color theme="1"/>
      <name val="Calibri"/>
      <family val="2"/>
      <charset val="204"/>
      <scheme val="minor"/>
    </font>
    <font>
      <sz val="12"/>
      <color theme="1"/>
      <name val="Calibri"/>
      <family val="2"/>
      <charset val="204"/>
      <scheme val="minor"/>
    </font>
    <font>
      <b/>
      <sz val="12"/>
      <color theme="1"/>
      <name val="Calibri"/>
      <family val="2"/>
      <charset val="204"/>
      <scheme val="minor"/>
    </font>
    <font>
      <b/>
      <sz val="16"/>
      <color theme="1"/>
      <name val="Calibri"/>
      <family val="2"/>
      <charset val="204"/>
      <scheme val="minor"/>
    </font>
    <font>
      <b/>
      <sz val="11"/>
      <color theme="1"/>
      <name val="Calibri"/>
      <family val="2"/>
      <charset val="204"/>
      <scheme val="minor"/>
    </font>
    <font>
      <sz val="10"/>
      <name val="Arial Cyr"/>
      <charset val="204"/>
    </font>
    <font>
      <b/>
      <i/>
      <sz val="11"/>
      <name val="Arial"/>
      <family val="2"/>
      <charset val="204"/>
    </font>
    <font>
      <b/>
      <sz val="10"/>
      <name val="Arial"/>
      <family val="2"/>
      <charset val="204"/>
    </font>
    <font>
      <sz val="11"/>
      <name val="Arial"/>
      <family val="2"/>
      <charset val="204"/>
    </font>
    <font>
      <b/>
      <sz val="11"/>
      <name val="Arial"/>
      <family val="2"/>
      <charset val="204"/>
    </font>
    <font>
      <sz val="10"/>
      <name val="Arial"/>
      <family val="2"/>
      <charset val="204"/>
    </font>
    <font>
      <b/>
      <sz val="10"/>
      <color theme="1"/>
      <name val="Arial"/>
      <family val="2"/>
      <charset val="204"/>
    </font>
    <font>
      <b/>
      <sz val="10"/>
      <color rgb="FFFF0000"/>
      <name val="Arial"/>
      <family val="2"/>
      <charset val="204"/>
    </font>
    <font>
      <sz val="10"/>
      <color theme="1"/>
      <name val="Arial"/>
      <family val="2"/>
      <charset val="204"/>
    </font>
    <font>
      <sz val="11"/>
      <color theme="1"/>
      <name val="Arial"/>
      <family val="2"/>
      <charset val="204"/>
    </font>
    <font>
      <b/>
      <sz val="14"/>
      <color theme="1"/>
      <name val="Calibri"/>
      <family val="2"/>
      <charset val="204"/>
      <scheme val="minor"/>
    </font>
    <font>
      <sz val="11"/>
      <color rgb="FFFF0000"/>
      <name val="Calibri"/>
      <family val="2"/>
      <charset val="204"/>
      <scheme val="minor"/>
    </font>
    <font>
      <b/>
      <sz val="24"/>
      <color rgb="FFFF0000"/>
      <name val="Calibri"/>
      <family val="2"/>
      <charset val="204"/>
      <scheme val="minor"/>
    </font>
    <font>
      <sz val="10"/>
      <color theme="1"/>
      <name val="Calibri"/>
      <family val="2"/>
      <charset val="204"/>
      <scheme val="minor"/>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i/>
      <sz val="11"/>
      <color rgb="FF7F7F7F"/>
      <name val="Calibri"/>
      <family val="2"/>
      <charset val="204"/>
      <scheme val="minor"/>
    </font>
    <font>
      <sz val="11"/>
      <color theme="0"/>
      <name val="Calibri"/>
      <family val="2"/>
      <charset val="204"/>
      <scheme val="minor"/>
    </font>
    <font>
      <sz val="11"/>
      <color indexed="8"/>
      <name val="Calibri"/>
      <family val="2"/>
      <charset val="204"/>
    </font>
    <font>
      <b/>
      <sz val="18"/>
      <color theme="3"/>
      <name val="Calibri Light"/>
      <family val="2"/>
      <charset val="204"/>
      <scheme val="major"/>
    </font>
    <font>
      <sz val="11"/>
      <color rgb="FF9C6500"/>
      <name val="Calibri"/>
      <family val="2"/>
      <charset val="204"/>
      <scheme val="minor"/>
    </font>
    <font>
      <sz val="14"/>
      <color theme="1"/>
      <name val="Calibri"/>
      <family val="2"/>
      <charset val="204"/>
      <scheme val="minor"/>
    </font>
    <font>
      <sz val="11"/>
      <name val="Calibri"/>
      <family val="2"/>
      <charset val="204"/>
      <scheme val="minor"/>
    </font>
    <font>
      <sz val="8"/>
      <name val="Calibri"/>
      <family val="2"/>
      <charset val="204"/>
      <scheme val="minor"/>
    </font>
    <font>
      <sz val="12"/>
      <color theme="1"/>
      <name val="Calibri"/>
      <family val="2"/>
      <charset val="204"/>
      <scheme val="minor"/>
    </font>
    <font>
      <b/>
      <u/>
      <sz val="10"/>
      <color rgb="FFFF0000"/>
      <name val="Arial"/>
      <family val="2"/>
      <charset val="204"/>
    </font>
    <font>
      <sz val="16"/>
      <color theme="1"/>
      <name val="Calibri"/>
      <family val="2"/>
      <charset val="204"/>
      <scheme val="minor"/>
    </font>
    <font>
      <u/>
      <sz val="11"/>
      <color theme="10"/>
      <name val="Calibri"/>
      <family val="2"/>
      <charset val="204"/>
      <scheme val="minor"/>
    </font>
    <font>
      <u/>
      <sz val="20"/>
      <color theme="10"/>
      <name val="Calibri"/>
      <family val="2"/>
      <charset val="204"/>
      <scheme val="minor"/>
    </font>
    <font>
      <sz val="24"/>
      <color rgb="FFFF0000"/>
      <name val="Calibri"/>
      <family val="2"/>
      <charset val="204"/>
      <scheme val="minor"/>
    </font>
    <font>
      <sz val="14"/>
      <color rgb="FFFF0000"/>
      <name val="Calibri"/>
      <family val="2"/>
      <charset val="204"/>
      <scheme val="minor"/>
    </font>
    <font>
      <sz val="22"/>
      <color theme="1"/>
      <name val="Calibri"/>
      <family val="2"/>
      <charset val="204"/>
      <scheme val="minor"/>
    </font>
    <font>
      <b/>
      <sz val="14"/>
      <color theme="0"/>
      <name val="Calibri"/>
      <family val="2"/>
      <charset val="204"/>
      <scheme val="minor"/>
    </font>
    <font>
      <sz val="16"/>
      <color rgb="FFFF0000"/>
      <name val="Arial"/>
      <family val="2"/>
      <charset val="204"/>
    </font>
    <font>
      <sz val="18"/>
      <color theme="1"/>
      <name val="Calibri"/>
      <family val="2"/>
      <charset val="204"/>
      <scheme val="minor"/>
    </font>
    <font>
      <sz val="11"/>
      <color rgb="FF000000"/>
      <name val="Calibri"/>
      <family val="2"/>
      <charset val="204"/>
      <scheme val="minor"/>
    </font>
    <font>
      <b/>
      <sz val="11"/>
      <name val="Arial"/>
      <family val="2"/>
    </font>
    <font>
      <sz val="11"/>
      <color theme="1"/>
      <name val="Calibri"/>
      <family val="2"/>
      <scheme val="minor"/>
    </font>
    <font>
      <sz val="10"/>
      <color rgb="FF000000"/>
      <name val="Arial Unicode MS"/>
      <family val="2"/>
      <charset val="204"/>
    </font>
    <font>
      <sz val="14"/>
      <color theme="0"/>
      <name val="Calibri"/>
      <family val="2"/>
      <charset val="204"/>
      <scheme val="minor"/>
    </font>
    <font>
      <sz val="14"/>
      <color theme="1"/>
      <name val="Calibri"/>
      <family val="2"/>
      <scheme val="minor"/>
    </font>
    <font>
      <b/>
      <sz val="14"/>
      <color theme="1"/>
      <name val="Calibri"/>
      <family val="2"/>
      <scheme val="minor"/>
    </font>
    <font>
      <sz val="16"/>
      <color theme="1"/>
      <name val="Calibri"/>
      <family val="2"/>
      <scheme val="minor"/>
    </font>
    <font>
      <b/>
      <sz val="16"/>
      <color theme="1"/>
      <name val="Calibri"/>
      <family val="2"/>
      <scheme val="minor"/>
    </font>
    <font>
      <b/>
      <i/>
      <sz val="16"/>
      <color theme="1"/>
      <name val="Calibri"/>
      <family val="2"/>
      <scheme val="minor"/>
    </font>
    <font>
      <b/>
      <i/>
      <sz val="16"/>
      <color indexed="8"/>
      <name val="Calibri"/>
      <family val="2"/>
      <scheme val="minor"/>
    </font>
    <font>
      <sz val="16"/>
      <color indexed="8"/>
      <name val="Calibri"/>
      <family val="2"/>
      <scheme val="minor"/>
    </font>
    <font>
      <sz val="13"/>
      <color theme="1"/>
      <name val="Calibri"/>
      <family val="2"/>
      <scheme val="minor"/>
    </font>
    <font>
      <b/>
      <sz val="13"/>
      <color theme="1"/>
      <name val="Calibri"/>
      <family val="2"/>
      <scheme val="minor"/>
    </font>
    <font>
      <b/>
      <sz val="18"/>
      <color theme="1"/>
      <name val="Calibri"/>
      <family val="2"/>
      <scheme val="minor"/>
    </font>
    <font>
      <b/>
      <sz val="20"/>
      <color theme="1"/>
      <name val="Calibri"/>
      <family val="2"/>
      <scheme val="minor"/>
    </font>
    <font>
      <b/>
      <sz val="22"/>
      <color theme="1"/>
      <name val="Calibri"/>
      <family val="2"/>
      <scheme val="minor"/>
    </font>
    <font>
      <b/>
      <sz val="18"/>
      <color theme="1"/>
      <name val="Calibri"/>
      <family val="2"/>
      <charset val="204"/>
      <scheme val="minor"/>
    </font>
    <font>
      <b/>
      <sz val="16"/>
      <color rgb="FF000000"/>
      <name val="Calibri"/>
      <family val="2"/>
      <charset val="204"/>
      <scheme val="minor"/>
    </font>
    <font>
      <b/>
      <sz val="16"/>
      <color theme="1"/>
      <name val="Arial"/>
      <family val="2"/>
      <charset val="204"/>
    </font>
    <font>
      <b/>
      <i/>
      <sz val="16"/>
      <color theme="1"/>
      <name val="Calibri"/>
      <family val="2"/>
      <charset val="204"/>
      <scheme val="minor"/>
    </font>
    <font>
      <sz val="36"/>
      <color rgb="FF000000"/>
      <name val="Georgia"/>
      <family val="1"/>
    </font>
    <font>
      <b/>
      <sz val="20"/>
      <color rgb="FF000000"/>
      <name val="Georgia"/>
      <family val="1"/>
    </font>
    <font>
      <sz val="18"/>
      <color rgb="FF000000"/>
      <name val="Georgia"/>
      <family val="1"/>
    </font>
    <font>
      <sz val="20"/>
      <color theme="1"/>
      <name val="Georgia"/>
      <family val="1"/>
    </font>
    <font>
      <b/>
      <sz val="16"/>
      <color theme="0"/>
      <name val="Calibri"/>
      <family val="2"/>
      <charset val="204"/>
      <scheme val="minor"/>
    </font>
    <font>
      <sz val="36"/>
      <color theme="0"/>
      <name val="Arial"/>
      <family val="2"/>
    </font>
    <font>
      <b/>
      <sz val="11"/>
      <color rgb="FFFF0000"/>
      <name val="Calibri"/>
      <family val="2"/>
      <charset val="204"/>
      <scheme val="minor"/>
    </font>
    <font>
      <sz val="20"/>
      <color rgb="FF000000"/>
      <name val="Georgia"/>
      <family val="1"/>
      <charset val="204"/>
    </font>
    <font>
      <sz val="9"/>
      <color rgb="FF1F1F1F"/>
      <name val="Courier New"/>
      <family val="3"/>
      <charset val="204"/>
    </font>
    <font>
      <sz val="22"/>
      <color rgb="FF333333"/>
      <name val="Arial"/>
      <family val="2"/>
      <charset val="204"/>
    </font>
    <font>
      <sz val="22"/>
      <color rgb="FFF47E00"/>
      <name val="Arial"/>
      <family val="2"/>
      <charset val="204"/>
    </font>
    <font>
      <sz val="22"/>
      <color theme="5"/>
      <name val="Calibri"/>
      <family val="2"/>
      <charset val="204"/>
      <scheme val="minor"/>
    </font>
  </fonts>
  <fills count="57">
    <fill>
      <patternFill patternType="none"/>
    </fill>
    <fill>
      <patternFill patternType="gray125"/>
    </fill>
    <fill>
      <patternFill patternType="solid">
        <fgColor theme="0" tint="-0.249977111117893"/>
        <bgColor indexed="64"/>
      </patternFill>
    </fill>
    <fill>
      <patternFill patternType="solid">
        <fgColor theme="5" tint="0.39997558519241921"/>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4"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9" tint="0.59999389629810485"/>
        <bgColor indexed="64"/>
      </patternFill>
    </fill>
    <fill>
      <patternFill patternType="solid">
        <fgColor theme="7" tint="-0.249977111117893"/>
        <bgColor indexed="64"/>
      </patternFill>
    </fill>
    <fill>
      <patternFill patternType="solid">
        <fgColor theme="2" tint="-9.9978637043366805E-2"/>
        <bgColor indexed="64"/>
      </patternFill>
    </fill>
    <fill>
      <patternFill patternType="solid">
        <fgColor theme="6" tint="0.79998168889431442"/>
        <bgColor rgb="FF000000"/>
      </patternFill>
    </fill>
    <fill>
      <patternFill patternType="solid">
        <fgColor theme="2" tint="-0.249977111117893"/>
        <bgColor indexed="64"/>
      </patternFill>
    </fill>
    <fill>
      <patternFill patternType="solid">
        <fgColor theme="9" tint="0.39997558519241921"/>
        <bgColor indexed="64"/>
      </patternFill>
    </fill>
    <fill>
      <patternFill patternType="solid">
        <fgColor rgb="FFC6E0B4"/>
        <bgColor rgb="FF000000"/>
      </patternFill>
    </fill>
    <fill>
      <patternFill patternType="solid">
        <fgColor theme="0"/>
        <bgColor indexed="64"/>
      </patternFill>
    </fill>
    <fill>
      <patternFill patternType="solid">
        <fgColor rgb="FF5A1F28"/>
        <bgColor indexed="64"/>
      </patternFill>
    </fill>
    <fill>
      <patternFill patternType="solid">
        <fgColor rgb="FFF5D5FF"/>
        <bgColor indexed="64"/>
      </patternFill>
    </fill>
    <fill>
      <patternFill patternType="solid">
        <fgColor theme="2"/>
        <bgColor indexed="64"/>
      </patternFill>
    </fill>
  </fills>
  <borders count="107">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diagonalDown="1">
      <left style="medium">
        <color indexed="64"/>
      </left>
      <right/>
      <top style="medium">
        <color indexed="64"/>
      </top>
      <bottom/>
      <diagonal style="medium">
        <color indexed="64"/>
      </diagonal>
    </border>
    <border>
      <left/>
      <right/>
      <top style="medium">
        <color indexed="64"/>
      </top>
      <bottom/>
      <diagonal/>
    </border>
    <border diagonalUp="1">
      <left/>
      <right style="medium">
        <color indexed="64"/>
      </right>
      <top style="medium">
        <color indexed="64"/>
      </top>
      <bottom/>
      <diagonal style="medium">
        <color indexed="64"/>
      </diagonal>
    </border>
    <border>
      <left/>
      <right style="medium">
        <color indexed="64"/>
      </right>
      <top/>
      <bottom/>
      <diagonal/>
    </border>
    <border>
      <left/>
      <right/>
      <top/>
      <bottom style="dashDot">
        <color indexed="64"/>
      </bottom>
      <diagonal/>
    </border>
    <border>
      <left/>
      <right style="medium">
        <color indexed="64"/>
      </right>
      <top/>
      <bottom style="dashDot">
        <color indexed="64"/>
      </bottom>
      <diagonal/>
    </border>
    <border>
      <left style="medium">
        <color indexed="64"/>
      </left>
      <right/>
      <top/>
      <bottom style="dashDot">
        <color indexed="64"/>
      </bottom>
      <diagonal/>
    </border>
    <border>
      <left style="medium">
        <color indexed="64"/>
      </left>
      <right style="dashDot">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dashDot">
        <color indexed="64"/>
      </top>
      <bottom/>
      <diagonal/>
    </border>
    <border>
      <left/>
      <right style="medium">
        <color indexed="64"/>
      </right>
      <top style="dashDot">
        <color indexed="64"/>
      </top>
      <bottom/>
      <diagonal/>
    </border>
    <border>
      <left/>
      <right style="dashDot">
        <color indexed="64"/>
      </right>
      <top/>
      <bottom style="medium">
        <color indexed="64"/>
      </bottom>
      <diagonal/>
    </border>
    <border diagonalUp="1">
      <left style="medium">
        <color indexed="64"/>
      </left>
      <right/>
      <top/>
      <bottom style="medium">
        <color indexed="64"/>
      </bottom>
      <diagonal style="medium">
        <color indexed="64"/>
      </diagonal>
    </border>
    <border>
      <left style="dashDot">
        <color indexed="64"/>
      </left>
      <right/>
      <top style="medium">
        <color indexed="64"/>
      </top>
      <bottom style="medium">
        <color indexed="64"/>
      </bottom>
      <diagonal/>
    </border>
    <border diagonalDown="1">
      <left/>
      <right style="medium">
        <color indexed="64"/>
      </right>
      <top/>
      <bottom style="medium">
        <color indexed="64"/>
      </bottom>
      <diagonal style="medium">
        <color indexed="64"/>
      </diagonal>
    </border>
    <border>
      <left style="dashDot">
        <color indexed="64"/>
      </left>
      <right/>
      <top style="medium">
        <color indexed="64"/>
      </top>
      <bottom/>
      <diagonal/>
    </border>
    <border>
      <left style="dashDot">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auto="1"/>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diagonal/>
    </border>
    <border>
      <left style="medium">
        <color indexed="64"/>
      </left>
      <right/>
      <top style="dashDot">
        <color indexed="64"/>
      </top>
      <bottom/>
      <diagonal/>
    </border>
    <border>
      <left style="thin">
        <color indexed="64"/>
      </left>
      <right style="medium">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thin">
        <color indexed="64"/>
      </left>
      <right/>
      <top style="medium">
        <color indexed="64"/>
      </top>
      <bottom/>
      <diagonal/>
    </border>
    <border>
      <left/>
      <right style="thin">
        <color auto="1"/>
      </right>
      <top style="medium">
        <color indexed="64"/>
      </top>
      <bottom/>
      <diagonal/>
    </border>
    <border>
      <left/>
      <right style="dashDot">
        <color indexed="64"/>
      </right>
      <top style="medium">
        <color indexed="64"/>
      </top>
      <bottom/>
      <diagonal/>
    </border>
    <border>
      <left/>
      <right style="dashDot">
        <color indexed="64"/>
      </right>
      <top/>
      <bottom/>
      <diagonal/>
    </border>
    <border>
      <left style="medium">
        <color indexed="64"/>
      </left>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auto="1"/>
      </right>
      <top style="medium">
        <color indexed="64"/>
      </top>
      <bottom style="medium">
        <color indexed="64"/>
      </bottom>
      <diagonal/>
    </border>
    <border>
      <left/>
      <right style="thin">
        <color auto="1"/>
      </right>
      <top style="medium">
        <color indexed="64"/>
      </top>
      <bottom style="thin">
        <color auto="1"/>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dashDot">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s>
  <cellStyleXfs count="47">
    <xf numFmtId="0" fontId="0" fillId="0" borderId="0"/>
    <xf numFmtId="0" fontId="5" fillId="0" borderId="0"/>
    <xf numFmtId="0" fontId="20" fillId="0" borderId="76" applyNumberFormat="0" applyFill="0" applyAlignment="0" applyProtection="0"/>
    <xf numFmtId="0" fontId="21" fillId="0" borderId="77" applyNumberFormat="0" applyFill="0" applyAlignment="0" applyProtection="0"/>
    <xf numFmtId="0" fontId="22" fillId="0" borderId="78" applyNumberFormat="0" applyFill="0" applyAlignment="0" applyProtection="0"/>
    <xf numFmtId="0" fontId="22" fillId="0" borderId="0" applyNumberFormat="0" applyFill="0" applyBorder="0" applyAlignment="0" applyProtection="0"/>
    <xf numFmtId="0" fontId="23" fillId="10" borderId="0" applyNumberFormat="0" applyBorder="0" applyAlignment="0" applyProtection="0"/>
    <xf numFmtId="0" fontId="24" fillId="11" borderId="0" applyNumberFormat="0" applyBorder="0" applyAlignment="0" applyProtection="0"/>
    <xf numFmtId="0" fontId="25" fillId="13" borderId="79" applyNumberFormat="0" applyAlignment="0" applyProtection="0"/>
    <xf numFmtId="0" fontId="26" fillId="14" borderId="80" applyNumberFormat="0" applyAlignment="0" applyProtection="0"/>
    <xf numFmtId="0" fontId="27" fillId="14" borderId="79" applyNumberFormat="0" applyAlignment="0" applyProtection="0"/>
    <xf numFmtId="0" fontId="28" fillId="0" borderId="81" applyNumberFormat="0" applyFill="0" applyAlignment="0" applyProtection="0"/>
    <xf numFmtId="0" fontId="29" fillId="15" borderId="82" applyNumberFormat="0" applyAlignment="0" applyProtection="0"/>
    <xf numFmtId="0" fontId="16" fillId="0" borderId="0" applyNumberFormat="0" applyFill="0" applyBorder="0" applyAlignment="0" applyProtection="0"/>
    <xf numFmtId="0" fontId="19" fillId="16" borderId="83" applyNumberFormat="0" applyFont="0" applyAlignment="0" applyProtection="0"/>
    <xf numFmtId="0" fontId="30" fillId="0" borderId="0" applyNumberFormat="0" applyFill="0" applyBorder="0" applyAlignment="0" applyProtection="0"/>
    <xf numFmtId="0" fontId="4" fillId="0" borderId="84" applyNumberFormat="0" applyFill="0" applyAlignment="0" applyProtection="0"/>
    <xf numFmtId="0" fontId="31"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31" fillId="2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31"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31"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31" fillId="33"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31" fillId="37" borderId="0" applyNumberFormat="0" applyBorder="0" applyAlignment="0" applyProtection="0"/>
    <xf numFmtId="0" fontId="19" fillId="38" borderId="0" applyNumberFormat="0" applyBorder="0" applyAlignment="0" applyProtection="0"/>
    <xf numFmtId="0" fontId="19" fillId="39" borderId="0" applyNumberFormat="0" applyBorder="0" applyAlignment="0" applyProtection="0"/>
    <xf numFmtId="0" fontId="32" fillId="0" borderId="0"/>
    <xf numFmtId="0" fontId="33" fillId="0" borderId="0" applyNumberFormat="0" applyFill="0" applyBorder="0" applyAlignment="0" applyProtection="0"/>
    <xf numFmtId="0" fontId="34" fillId="12"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31" fillId="40" borderId="0" applyNumberFormat="0" applyBorder="0" applyAlignment="0" applyProtection="0"/>
    <xf numFmtId="0" fontId="41" fillId="0" borderId="0" applyNumberFormat="0" applyFill="0" applyBorder="0" applyAlignment="0" applyProtection="0"/>
    <xf numFmtId="164" fontId="19" fillId="0" borderId="0" applyFont="0" applyFill="0" applyBorder="0" applyAlignment="0" applyProtection="0"/>
    <xf numFmtId="9" fontId="19" fillId="0" borderId="0" applyFont="0" applyFill="0" applyBorder="0" applyAlignment="0" applyProtection="0"/>
  </cellStyleXfs>
  <cellXfs count="770">
    <xf numFmtId="0" fontId="0" fillId="0" borderId="0" xfId="0"/>
    <xf numFmtId="0" fontId="0" fillId="0" borderId="6" xfId="0" applyBorder="1" applyAlignment="1">
      <alignment horizontal="center"/>
    </xf>
    <xf numFmtId="0" fontId="0" fillId="0" borderId="7" xfId="0" applyBorder="1" applyAlignment="1">
      <alignment horizontal="center"/>
    </xf>
    <xf numFmtId="0" fontId="0" fillId="0" borderId="9" xfId="0" applyBorder="1" applyAlignment="1">
      <alignment horizontal="center"/>
    </xf>
    <xf numFmtId="0" fontId="0" fillId="0" borderId="0" xfId="0" applyAlignment="1">
      <alignment horizontal="center"/>
    </xf>
    <xf numFmtId="49" fontId="0" fillId="0" borderId="0" xfId="0" applyNumberFormat="1" applyAlignment="1">
      <alignment horizontal="right"/>
    </xf>
    <xf numFmtId="0" fontId="0" fillId="0" borderId="0" xfId="0" applyAlignment="1">
      <alignment horizontal="right"/>
    </xf>
    <xf numFmtId="0" fontId="0" fillId="0" borderId="10" xfId="0" applyBorder="1" applyAlignment="1">
      <alignment horizontal="center"/>
    </xf>
    <xf numFmtId="0" fontId="0" fillId="0" borderId="7" xfId="0" applyBorder="1" applyAlignment="1">
      <alignment horizontal="left"/>
    </xf>
    <xf numFmtId="49" fontId="0" fillId="0" borderId="0" xfId="0" applyNumberFormat="1" applyAlignment="1">
      <alignment horizontal="center"/>
    </xf>
    <xf numFmtId="49" fontId="0" fillId="0" borderId="0" xfId="0" applyNumberFormat="1" applyAlignment="1">
      <alignment horizontal="left"/>
    </xf>
    <xf numFmtId="0" fontId="5" fillId="0" borderId="0" xfId="1"/>
    <xf numFmtId="0" fontId="10" fillId="0" borderId="16" xfId="1" applyFont="1" applyBorder="1" applyAlignment="1">
      <alignment horizontal="center" vertical="center"/>
    </xf>
    <xf numFmtId="0" fontId="5" fillId="0" borderId="0" xfId="1" applyAlignment="1">
      <alignment horizontal="center" vertical="center"/>
    </xf>
    <xf numFmtId="0" fontId="5" fillId="0" borderId="0" xfId="1" applyAlignment="1">
      <alignment horizontal="center"/>
    </xf>
    <xf numFmtId="0" fontId="13" fillId="0" borderId="0" xfId="0" applyFont="1"/>
    <xf numFmtId="4" fontId="13" fillId="0" borderId="0" xfId="0" applyNumberFormat="1" applyFont="1"/>
    <xf numFmtId="0" fontId="14" fillId="0" borderId="0" xfId="0" applyFont="1"/>
    <xf numFmtId="0" fontId="10" fillId="0" borderId="0" xfId="0" applyFont="1"/>
    <xf numFmtId="0" fontId="0" fillId="0" borderId="5" xfId="0" applyBorder="1"/>
    <xf numFmtId="0" fontId="0" fillId="0" borderId="0" xfId="0" applyAlignment="1">
      <alignment horizontal="center" vertical="center"/>
    </xf>
    <xf numFmtId="0" fontId="0" fillId="0" borderId="25" xfId="0" applyBorder="1" applyAlignment="1">
      <alignment horizontal="left"/>
    </xf>
    <xf numFmtId="0" fontId="11" fillId="0" borderId="5" xfId="0" applyFont="1" applyBorder="1" applyAlignment="1" applyProtection="1">
      <alignment horizontal="center" vertical="center"/>
      <protection hidden="1"/>
    </xf>
    <xf numFmtId="0" fontId="9" fillId="0" borderId="17" xfId="0" applyFont="1" applyBorder="1" applyAlignment="1" applyProtection="1">
      <alignment horizontal="center"/>
      <protection hidden="1"/>
    </xf>
    <xf numFmtId="0" fontId="13" fillId="0" borderId="17" xfId="0" applyFont="1" applyBorder="1" applyProtection="1">
      <protection hidden="1"/>
    </xf>
    <xf numFmtId="0" fontId="10" fillId="0" borderId="22" xfId="0" applyFont="1" applyBorder="1" applyAlignment="1" applyProtection="1">
      <alignment horizontal="left"/>
      <protection hidden="1"/>
    </xf>
    <xf numFmtId="4" fontId="13" fillId="0" borderId="22" xfId="0" applyNumberFormat="1" applyFont="1" applyBorder="1" applyAlignment="1" applyProtection="1">
      <alignment horizontal="center"/>
      <protection locked="0"/>
    </xf>
    <xf numFmtId="4" fontId="13" fillId="0" borderId="24" xfId="0" applyNumberFormat="1" applyFont="1" applyBorder="1" applyAlignment="1" applyProtection="1">
      <alignment horizontal="center"/>
      <protection locked="0"/>
    </xf>
    <xf numFmtId="14" fontId="6" fillId="4" borderId="14" xfId="1" applyNumberFormat="1" applyFont="1" applyFill="1" applyBorder="1" applyAlignment="1" applyProtection="1">
      <alignment horizontal="center" vertical="center"/>
      <protection hidden="1"/>
    </xf>
    <xf numFmtId="0" fontId="9" fillId="0" borderId="19" xfId="0" applyFont="1" applyBorder="1" applyAlignment="1" applyProtection="1">
      <alignment horizontal="center"/>
      <protection hidden="1"/>
    </xf>
    <xf numFmtId="0" fontId="13" fillId="0" borderId="13" xfId="0" applyFont="1" applyBorder="1" applyProtection="1">
      <protection hidden="1"/>
    </xf>
    <xf numFmtId="0" fontId="11" fillId="0" borderId="15" xfId="0" applyFont="1" applyBorder="1" applyAlignment="1" applyProtection="1">
      <alignment horizontal="center" vertical="center"/>
      <protection hidden="1"/>
    </xf>
    <xf numFmtId="0" fontId="10" fillId="0" borderId="17" xfId="0" applyFont="1" applyBorder="1" applyProtection="1">
      <protection hidden="1"/>
    </xf>
    <xf numFmtId="0" fontId="13" fillId="0" borderId="22" xfId="0" applyFont="1" applyBorder="1" applyAlignment="1" applyProtection="1">
      <alignment horizontal="center"/>
      <protection locked="0"/>
    </xf>
    <xf numFmtId="4" fontId="10" fillId="0" borderId="22" xfId="0" applyNumberFormat="1" applyFont="1" applyBorder="1" applyAlignment="1" applyProtection="1">
      <alignment horizontal="center"/>
      <protection locked="0"/>
    </xf>
    <xf numFmtId="4" fontId="10" fillId="0" borderId="24" xfId="0" applyNumberFormat="1" applyFont="1" applyBorder="1" applyAlignment="1" applyProtection="1">
      <alignment horizontal="center"/>
      <protection locked="0"/>
    </xf>
    <xf numFmtId="0" fontId="12" fillId="0" borderId="16" xfId="0" applyFont="1" applyBorder="1" applyProtection="1">
      <protection hidden="1"/>
    </xf>
    <xf numFmtId="0" fontId="10" fillId="0" borderId="13" xfId="0" applyFont="1" applyBorder="1" applyProtection="1">
      <protection hidden="1"/>
    </xf>
    <xf numFmtId="0" fontId="12" fillId="0" borderId="21" xfId="0" applyFont="1" applyBorder="1" applyProtection="1">
      <protection locked="0"/>
    </xf>
    <xf numFmtId="4" fontId="12" fillId="0" borderId="21" xfId="0" applyNumberFormat="1" applyFont="1" applyBorder="1" applyAlignment="1" applyProtection="1">
      <alignment horizontal="center"/>
      <protection locked="0"/>
    </xf>
    <xf numFmtId="0" fontId="0" fillId="0" borderId="36" xfId="0" applyBorder="1" applyAlignment="1">
      <alignment horizontal="center"/>
    </xf>
    <xf numFmtId="0" fontId="0" fillId="0" borderId="25" xfId="0" applyBorder="1" applyAlignment="1">
      <alignment horizontal="center"/>
    </xf>
    <xf numFmtId="0" fontId="0" fillId="0" borderId="0" xfId="0" applyAlignment="1">
      <alignment vertical="center"/>
    </xf>
    <xf numFmtId="0" fontId="0" fillId="0" borderId="17" xfId="0" applyBorder="1"/>
    <xf numFmtId="0" fontId="0" fillId="0" borderId="22" xfId="0" applyBorder="1"/>
    <xf numFmtId="0" fontId="0" fillId="0" borderId="23" xfId="0" applyBorder="1"/>
    <xf numFmtId="0" fontId="0" fillId="0" borderId="39" xfId="0" applyBorder="1"/>
    <xf numFmtId="0" fontId="0" fillId="0" borderId="40" xfId="0" applyBorder="1"/>
    <xf numFmtId="0" fontId="0" fillId="0" borderId="41" xfId="0" applyBorder="1"/>
    <xf numFmtId="0" fontId="0" fillId="0" borderId="43" xfId="0" applyBorder="1"/>
    <xf numFmtId="0" fontId="0" fillId="0" borderId="20" xfId="0" applyBorder="1"/>
    <xf numFmtId="0" fontId="0" fillId="0" borderId="46" xfId="0" applyBorder="1"/>
    <xf numFmtId="0" fontId="0" fillId="0" borderId="48" xfId="0" applyBorder="1"/>
    <xf numFmtId="0" fontId="0" fillId="0" borderId="52" xfId="0" applyBorder="1"/>
    <xf numFmtId="0" fontId="0" fillId="0" borderId="21" xfId="0" applyBorder="1"/>
    <xf numFmtId="0" fontId="0" fillId="0" borderId="58" xfId="0" applyBorder="1"/>
    <xf numFmtId="0" fontId="0" fillId="7" borderId="1" xfId="0" applyFill="1" applyBorder="1"/>
    <xf numFmtId="0" fontId="0" fillId="7" borderId="43" xfId="0" applyFill="1" applyBorder="1"/>
    <xf numFmtId="0" fontId="0" fillId="7" borderId="36" xfId="0" applyFill="1" applyBorder="1"/>
    <xf numFmtId="0" fontId="0" fillId="7" borderId="2" xfId="0" applyFill="1" applyBorder="1"/>
    <xf numFmtId="0" fontId="0" fillId="7" borderId="0" xfId="0" applyFill="1"/>
    <xf numFmtId="0" fontId="0" fillId="7" borderId="45" xfId="0" applyFill="1" applyBorder="1"/>
    <xf numFmtId="0" fontId="0" fillId="7" borderId="40" xfId="0" applyFill="1" applyBorder="1"/>
    <xf numFmtId="0" fontId="0" fillId="7" borderId="50" xfId="0" applyFill="1" applyBorder="1"/>
    <xf numFmtId="0" fontId="0" fillId="2" borderId="42" xfId="0" applyFill="1" applyBorder="1"/>
    <xf numFmtId="0" fontId="0" fillId="2" borderId="43" xfId="0" applyFill="1" applyBorder="1"/>
    <xf numFmtId="0" fontId="0" fillId="2" borderId="44" xfId="0" applyFill="1" applyBorder="1"/>
    <xf numFmtId="0" fontId="0" fillId="2" borderId="54" xfId="0" applyFill="1" applyBorder="1"/>
    <xf numFmtId="0" fontId="0" fillId="2" borderId="40" xfId="0" applyFill="1" applyBorder="1"/>
    <xf numFmtId="0" fontId="0" fillId="2" borderId="55" xfId="0" applyFill="1" applyBorder="1"/>
    <xf numFmtId="0" fontId="0" fillId="2" borderId="56" xfId="0" applyFill="1" applyBorder="1"/>
    <xf numFmtId="0" fontId="0" fillId="2" borderId="45" xfId="0" applyFill="1" applyBorder="1"/>
    <xf numFmtId="0" fontId="0" fillId="2" borderId="51" xfId="0" applyFill="1" applyBorder="1"/>
    <xf numFmtId="0" fontId="0" fillId="2" borderId="2" xfId="0" applyFill="1" applyBorder="1"/>
    <xf numFmtId="0" fontId="0" fillId="0" borderId="13" xfId="0" applyBorder="1"/>
    <xf numFmtId="0" fontId="0" fillId="0" borderId="24" xfId="0" applyBorder="1"/>
    <xf numFmtId="0" fontId="0" fillId="2" borderId="7" xfId="0" applyFill="1" applyBorder="1" applyAlignment="1">
      <alignment horizontal="left"/>
    </xf>
    <xf numFmtId="0" fontId="13" fillId="0" borderId="0" xfId="0" applyFont="1" applyProtection="1">
      <protection hidden="1"/>
    </xf>
    <xf numFmtId="0" fontId="0" fillId="0" borderId="0" xfId="0" applyProtection="1">
      <protection hidden="1"/>
    </xf>
    <xf numFmtId="0" fontId="10" fillId="0" borderId="0" xfId="0" applyFont="1" applyAlignment="1" applyProtection="1">
      <alignment horizontal="left"/>
      <protection hidden="1"/>
    </xf>
    <xf numFmtId="4" fontId="11" fillId="0" borderId="0" xfId="0" applyNumberFormat="1" applyFont="1" applyAlignment="1" applyProtection="1">
      <alignment horizontal="center"/>
      <protection hidden="1"/>
    </xf>
    <xf numFmtId="0" fontId="10" fillId="0" borderId="16" xfId="0" applyFont="1" applyBorder="1" applyAlignment="1" applyProtection="1">
      <alignment horizontal="left"/>
      <protection hidden="1"/>
    </xf>
    <xf numFmtId="0" fontId="10" fillId="0" borderId="21" xfId="0" applyFont="1" applyBorder="1" applyAlignment="1" applyProtection="1">
      <alignment horizontal="left"/>
      <protection hidden="1"/>
    </xf>
    <xf numFmtId="0" fontId="10" fillId="0" borderId="37" xfId="0" applyFont="1" applyBorder="1" applyAlignment="1" applyProtection="1">
      <alignment horizontal="left"/>
      <protection hidden="1"/>
    </xf>
    <xf numFmtId="0" fontId="0" fillId="0" borderId="70" xfId="0" applyBorder="1"/>
    <xf numFmtId="0" fontId="0" fillId="0" borderId="2" xfId="0" applyBorder="1"/>
    <xf numFmtId="0" fontId="0" fillId="0" borderId="45" xfId="0" applyBorder="1"/>
    <xf numFmtId="0" fontId="0" fillId="0" borderId="3" xfId="0" applyBorder="1"/>
    <xf numFmtId="0" fontId="0" fillId="0" borderId="50" xfId="0" applyBorder="1"/>
    <xf numFmtId="0" fontId="10" fillId="0" borderId="19" xfId="0" applyFont="1" applyBorder="1" applyAlignment="1" applyProtection="1">
      <alignment horizontal="left"/>
      <protection hidden="1"/>
    </xf>
    <xf numFmtId="0" fontId="10" fillId="0" borderId="67" xfId="0" applyFont="1" applyBorder="1" applyAlignment="1" applyProtection="1">
      <alignment horizontal="left"/>
      <protection hidden="1"/>
    </xf>
    <xf numFmtId="0" fontId="0" fillId="0" borderId="71" xfId="0" applyBorder="1"/>
    <xf numFmtId="0" fontId="0" fillId="0" borderId="72" xfId="0" applyBorder="1"/>
    <xf numFmtId="0" fontId="0" fillId="9" borderId="7" xfId="0" applyFill="1" applyBorder="1" applyAlignment="1">
      <alignment horizontal="left"/>
    </xf>
    <xf numFmtId="0" fontId="0" fillId="0" borderId="47" xfId="0" applyBorder="1"/>
    <xf numFmtId="0" fontId="0" fillId="2" borderId="73" xfId="0" applyFill="1" applyBorder="1"/>
    <xf numFmtId="0" fontId="0" fillId="7" borderId="3" xfId="0" applyFill="1" applyBorder="1"/>
    <xf numFmtId="0" fontId="0" fillId="2" borderId="69" xfId="0" applyFill="1" applyBorder="1"/>
    <xf numFmtId="0" fontId="0" fillId="41" borderId="0" xfId="0" applyFill="1"/>
    <xf numFmtId="0" fontId="0" fillId="0" borderId="91" xfId="0" applyBorder="1"/>
    <xf numFmtId="0" fontId="0" fillId="0" borderId="92" xfId="0" applyBorder="1"/>
    <xf numFmtId="0" fontId="0" fillId="2" borderId="48" xfId="0" applyFill="1" applyBorder="1"/>
    <xf numFmtId="0" fontId="0" fillId="42" borderId="1" xfId="0" applyFill="1" applyBorder="1"/>
    <xf numFmtId="0" fontId="0" fillId="42" borderId="43" xfId="0" applyFill="1" applyBorder="1"/>
    <xf numFmtId="0" fontId="0" fillId="42" borderId="36" xfId="0" applyFill="1" applyBorder="1"/>
    <xf numFmtId="0" fontId="0" fillId="42" borderId="2" xfId="0" applyFill="1" applyBorder="1"/>
    <xf numFmtId="0" fontId="0" fillId="42" borderId="0" xfId="0" applyFill="1"/>
    <xf numFmtId="0" fontId="0" fillId="42" borderId="45" xfId="0" applyFill="1" applyBorder="1"/>
    <xf numFmtId="0" fontId="16" fillId="42" borderId="0" xfId="0" applyFont="1" applyFill="1" applyAlignment="1">
      <alignment horizontal="right"/>
    </xf>
    <xf numFmtId="0" fontId="0" fillId="42" borderId="48" xfId="0" applyFill="1" applyBorder="1"/>
    <xf numFmtId="0" fontId="0" fillId="42" borderId="49" xfId="0" applyFill="1" applyBorder="1"/>
    <xf numFmtId="0" fontId="0" fillId="42" borderId="40" xfId="0" applyFill="1" applyBorder="1"/>
    <xf numFmtId="0" fontId="0" fillId="42" borderId="53" xfId="0" applyFill="1" applyBorder="1"/>
    <xf numFmtId="0" fontId="0" fillId="42" borderId="50" xfId="0" applyFill="1" applyBorder="1"/>
    <xf numFmtId="0" fontId="16" fillId="42" borderId="0" xfId="0" applyFont="1" applyFill="1"/>
    <xf numFmtId="0" fontId="0" fillId="42" borderId="52" xfId="0" applyFill="1" applyBorder="1"/>
    <xf numFmtId="0" fontId="0" fillId="42" borderId="47" xfId="0" applyFill="1" applyBorder="1"/>
    <xf numFmtId="0" fontId="16" fillId="42" borderId="2" xfId="0" applyFont="1" applyFill="1" applyBorder="1" applyAlignment="1">
      <alignment horizontal="right"/>
    </xf>
    <xf numFmtId="0" fontId="0" fillId="42" borderId="0" xfId="0" applyFill="1" applyAlignment="1">
      <alignment vertical="center" textRotation="90"/>
    </xf>
    <xf numFmtId="0" fontId="36" fillId="41" borderId="0" xfId="0" applyFont="1" applyFill="1" applyAlignment="1" applyProtection="1">
      <alignment horizontal="left"/>
      <protection locked="0"/>
    </xf>
    <xf numFmtId="0" fontId="0" fillId="41" borderId="0" xfId="0" applyFill="1" applyAlignment="1" applyProtection="1">
      <alignment horizontal="left" vertical="center"/>
      <protection locked="0"/>
    </xf>
    <xf numFmtId="0" fontId="0" fillId="0" borderId="45" xfId="0" applyBorder="1" applyAlignment="1">
      <alignment vertical="center"/>
    </xf>
    <xf numFmtId="0" fontId="0" fillId="0" borderId="2" xfId="0" applyBorder="1" applyAlignment="1">
      <alignment vertical="center"/>
    </xf>
    <xf numFmtId="0" fontId="0" fillId="0" borderId="48" xfId="0" applyBorder="1" applyAlignment="1">
      <alignment vertical="center"/>
    </xf>
    <xf numFmtId="0" fontId="36" fillId="0" borderId="0" xfId="0" applyFont="1"/>
    <xf numFmtId="0" fontId="0" fillId="2" borderId="6" xfId="0" applyFill="1" applyBorder="1" applyAlignment="1">
      <alignment horizontal="center"/>
    </xf>
    <xf numFmtId="0" fontId="0" fillId="2" borderId="96" xfId="0" applyFill="1" applyBorder="1" applyAlignment="1">
      <alignment horizontal="center"/>
    </xf>
    <xf numFmtId="0" fontId="10" fillId="0" borderId="62" xfId="1" applyFont="1" applyBorder="1" applyAlignment="1">
      <alignment horizontal="center" vertical="center"/>
    </xf>
    <xf numFmtId="0" fontId="10" fillId="0" borderId="27" xfId="1" applyFont="1" applyBorder="1" applyAlignment="1">
      <alignment horizontal="center" vertical="center"/>
    </xf>
    <xf numFmtId="0" fontId="0" fillId="0" borderId="73" xfId="0" applyBorder="1" applyAlignment="1">
      <alignment horizontal="center"/>
    </xf>
    <xf numFmtId="166" fontId="4" fillId="0" borderId="0" xfId="0" applyNumberFormat="1" applyFont="1" applyProtection="1">
      <protection hidden="1"/>
    </xf>
    <xf numFmtId="168" fontId="4" fillId="0" borderId="0" xfId="0" applyNumberFormat="1" applyFont="1" applyProtection="1">
      <protection hidden="1"/>
    </xf>
    <xf numFmtId="9" fontId="4" fillId="0" borderId="0" xfId="0" applyNumberFormat="1" applyFont="1" applyProtection="1">
      <protection hidden="1"/>
    </xf>
    <xf numFmtId="2" fontId="0" fillId="0" borderId="0" xfId="0" applyNumberFormat="1"/>
    <xf numFmtId="0" fontId="13" fillId="0" borderId="0" xfId="0" applyFont="1" applyAlignment="1">
      <alignment horizontal="right"/>
    </xf>
    <xf numFmtId="0" fontId="35" fillId="0" borderId="0" xfId="0" applyFont="1" applyAlignment="1">
      <alignment vertical="center"/>
    </xf>
    <xf numFmtId="171" fontId="13" fillId="0" borderId="4" xfId="0" applyNumberFormat="1" applyFont="1" applyBorder="1" applyAlignment="1" applyProtection="1">
      <alignment horizontal="center"/>
      <protection hidden="1"/>
    </xf>
    <xf numFmtId="171" fontId="11" fillId="0" borderId="0" xfId="0" applyNumberFormat="1" applyFont="1" applyAlignment="1" applyProtection="1">
      <alignment horizontal="center"/>
      <protection hidden="1"/>
    </xf>
    <xf numFmtId="171" fontId="13" fillId="0" borderId="18" xfId="0" applyNumberFormat="1" applyFont="1" applyBorder="1" applyAlignment="1" applyProtection="1">
      <alignment horizontal="center"/>
      <protection hidden="1"/>
    </xf>
    <xf numFmtId="171" fontId="10" fillId="0" borderId="18" xfId="0" applyNumberFormat="1" applyFont="1" applyBorder="1" applyAlignment="1" applyProtection="1">
      <alignment horizontal="center"/>
      <protection hidden="1"/>
    </xf>
    <xf numFmtId="171" fontId="10" fillId="0" borderId="4" xfId="0" applyNumberFormat="1" applyFont="1" applyBorder="1" applyAlignment="1" applyProtection="1">
      <alignment horizontal="center"/>
      <protection hidden="1"/>
    </xf>
    <xf numFmtId="171" fontId="11" fillId="5" borderId="6" xfId="0" applyNumberFormat="1" applyFont="1" applyFill="1" applyBorder="1" applyAlignment="1" applyProtection="1">
      <alignment horizontal="center"/>
      <protection hidden="1"/>
    </xf>
    <xf numFmtId="44" fontId="13" fillId="4" borderId="96" xfId="0" applyNumberFormat="1" applyFont="1" applyFill="1" applyBorder="1"/>
    <xf numFmtId="171" fontId="12" fillId="0" borderId="16" xfId="0" applyNumberFormat="1" applyFont="1" applyBorder="1" applyAlignment="1" applyProtection="1">
      <alignment horizontal="center"/>
      <protection hidden="1"/>
    </xf>
    <xf numFmtId="44" fontId="11" fillId="5" borderId="96" xfId="0" applyNumberFormat="1" applyFont="1" applyFill="1" applyBorder="1" applyAlignment="1" applyProtection="1">
      <alignment horizontal="center"/>
      <protection hidden="1"/>
    </xf>
    <xf numFmtId="4" fontId="13" fillId="0" borderId="0" xfId="0" applyNumberFormat="1" applyFont="1" applyProtection="1">
      <protection locked="0"/>
    </xf>
    <xf numFmtId="0" fontId="13" fillId="0" borderId="0" xfId="0" applyFont="1" applyProtection="1">
      <protection locked="0"/>
    </xf>
    <xf numFmtId="0" fontId="3" fillId="0" borderId="0" xfId="0" applyFont="1" applyAlignment="1" applyProtection="1">
      <alignment wrapText="1"/>
      <protection hidden="1"/>
    </xf>
    <xf numFmtId="0" fontId="0" fillId="0" borderId="0" xfId="0" applyAlignment="1" applyProtection="1">
      <alignment wrapText="1"/>
      <protection hidden="1"/>
    </xf>
    <xf numFmtId="0" fontId="18" fillId="0" borderId="0" xfId="0" applyFont="1" applyProtection="1">
      <protection hidden="1"/>
    </xf>
    <xf numFmtId="0" fontId="0" fillId="0" borderId="0" xfId="0" applyAlignment="1" applyProtection="1">
      <alignment horizontal="center" vertical="center"/>
      <protection hidden="1"/>
    </xf>
    <xf numFmtId="0" fontId="0" fillId="2" borderId="9" xfId="0" applyFill="1" applyBorder="1" applyAlignment="1">
      <alignment horizontal="left"/>
    </xf>
    <xf numFmtId="4" fontId="13" fillId="0" borderId="4" xfId="0" applyNumberFormat="1" applyFont="1" applyBorder="1" applyAlignment="1" applyProtection="1">
      <alignment horizontal="center"/>
      <protection hidden="1"/>
    </xf>
    <xf numFmtId="0" fontId="13" fillId="0" borderId="18" xfId="0" applyFont="1" applyBorder="1" applyAlignment="1" applyProtection="1">
      <alignment horizontal="center"/>
      <protection hidden="1"/>
    </xf>
    <xf numFmtId="4" fontId="10" fillId="0" borderId="18" xfId="0" applyNumberFormat="1" applyFont="1" applyBorder="1" applyAlignment="1" applyProtection="1">
      <alignment horizontal="center"/>
      <protection hidden="1"/>
    </xf>
    <xf numFmtId="4" fontId="10" fillId="0" borderId="4" xfId="0" applyNumberFormat="1" applyFont="1" applyBorder="1" applyAlignment="1" applyProtection="1">
      <alignment horizontal="center"/>
      <protection hidden="1"/>
    </xf>
    <xf numFmtId="0" fontId="3" fillId="0" borderId="5" xfId="0" applyFont="1" applyBorder="1"/>
    <xf numFmtId="172" fontId="40" fillId="0" borderId="5" xfId="0" applyNumberFormat="1" applyFont="1" applyBorder="1"/>
    <xf numFmtId="0" fontId="40" fillId="0" borderId="5" xfId="0" applyFont="1" applyBorder="1" applyProtection="1">
      <protection locked="0"/>
    </xf>
    <xf numFmtId="173" fontId="48" fillId="0" borderId="5" xfId="0" applyNumberFormat="1" applyFont="1" applyBorder="1"/>
    <xf numFmtId="4" fontId="13" fillId="0" borderId="18" xfId="0" applyNumberFormat="1" applyFont="1" applyBorder="1" applyAlignment="1" applyProtection="1">
      <alignment horizontal="center"/>
      <protection hidden="1"/>
    </xf>
    <xf numFmtId="4" fontId="12" fillId="0" borderId="16" xfId="0" applyNumberFormat="1" applyFont="1" applyBorder="1" applyAlignment="1" applyProtection="1">
      <alignment horizontal="center"/>
      <protection hidden="1"/>
    </xf>
    <xf numFmtId="2" fontId="11" fillId="5" borderId="4" xfId="0" applyNumberFormat="1" applyFont="1" applyFill="1" applyBorder="1" applyAlignment="1" applyProtection="1">
      <alignment horizontal="center"/>
      <protection hidden="1"/>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59" xfId="0" applyBorder="1" applyAlignment="1">
      <alignment horizontal="center"/>
    </xf>
    <xf numFmtId="0" fontId="7" fillId="0" borderId="59" xfId="0" applyFont="1" applyBorder="1" applyAlignment="1" applyProtection="1">
      <alignment horizontal="center" vertical="center"/>
      <protection hidden="1"/>
    </xf>
    <xf numFmtId="0" fontId="6" fillId="0" borderId="59" xfId="0" applyFont="1" applyBorder="1" applyAlignment="1" applyProtection="1">
      <alignment horizontal="center" vertical="center"/>
      <protection hidden="1"/>
    </xf>
    <xf numFmtId="0" fontId="49" fillId="0" borderId="59" xfId="0" applyFont="1" applyBorder="1" applyAlignment="1">
      <alignment horizontal="center"/>
    </xf>
    <xf numFmtId="4" fontId="10" fillId="0" borderId="0" xfId="0" applyNumberFormat="1" applyFont="1" applyAlignment="1" applyProtection="1">
      <alignment horizontal="center"/>
      <protection hidden="1"/>
    </xf>
    <xf numFmtId="0" fontId="12" fillId="0" borderId="0" xfId="0" applyFont="1" applyAlignment="1" applyProtection="1">
      <alignment vertical="center" wrapText="1"/>
      <protection hidden="1"/>
    </xf>
    <xf numFmtId="170" fontId="46" fillId="0" borderId="0" xfId="0" applyNumberFormat="1" applyFont="1" applyProtection="1">
      <protection hidden="1"/>
    </xf>
    <xf numFmtId="9" fontId="15" fillId="0" borderId="0" xfId="0" applyNumberFormat="1" applyFont="1" applyProtection="1">
      <protection hidden="1"/>
    </xf>
    <xf numFmtId="170" fontId="15" fillId="0" borderId="0" xfId="0" applyNumberFormat="1" applyFont="1" applyProtection="1">
      <protection hidden="1"/>
    </xf>
    <xf numFmtId="168" fontId="15" fillId="0" borderId="0" xfId="0" applyNumberFormat="1" applyFont="1" applyProtection="1">
      <protection hidden="1"/>
    </xf>
    <xf numFmtId="4" fontId="10" fillId="0" borderId="65" xfId="1" applyNumberFormat="1" applyFont="1" applyBorder="1" applyAlignment="1">
      <alignment horizontal="center"/>
    </xf>
    <xf numFmtId="0" fontId="10" fillId="0" borderId="5" xfId="1" applyFont="1" applyBorder="1" applyAlignment="1">
      <alignment horizontal="center" vertical="center"/>
    </xf>
    <xf numFmtId="4" fontId="10" fillId="0" borderId="28" xfId="1" applyNumberFormat="1" applyFont="1" applyBorder="1" applyAlignment="1">
      <alignment horizontal="center"/>
    </xf>
    <xf numFmtId="4" fontId="10" fillId="0" borderId="30" xfId="1" applyNumberFormat="1" applyFont="1" applyBorder="1" applyAlignment="1">
      <alignment horizontal="center"/>
    </xf>
    <xf numFmtId="0" fontId="10" fillId="0" borderId="32" xfId="1" applyFont="1" applyBorder="1" applyAlignment="1">
      <alignment horizontal="center" vertical="center"/>
    </xf>
    <xf numFmtId="4" fontId="10" fillId="0" borderId="75" xfId="1" applyNumberFormat="1" applyFont="1" applyBorder="1" applyAlignment="1">
      <alignment horizontal="center"/>
    </xf>
    <xf numFmtId="0" fontId="10" fillId="0" borderId="4" xfId="1" applyFont="1" applyBorder="1" applyAlignment="1">
      <alignment horizontal="center" vertical="center"/>
    </xf>
    <xf numFmtId="4" fontId="10" fillId="0" borderId="38" xfId="1" applyNumberFormat="1" applyFont="1" applyBorder="1" applyAlignment="1">
      <alignment horizontal="center"/>
    </xf>
    <xf numFmtId="4" fontId="10" fillId="0" borderId="87" xfId="1" applyNumberFormat="1" applyFont="1" applyBorder="1" applyAlignment="1">
      <alignment horizontal="center"/>
    </xf>
    <xf numFmtId="0" fontId="5" fillId="0" borderId="99" xfId="0" applyFont="1" applyBorder="1" applyAlignment="1">
      <alignment horizontal="center" vertical="center"/>
    </xf>
    <xf numFmtId="4" fontId="10" fillId="0" borderId="34" xfId="0" applyNumberFormat="1" applyFont="1" applyBorder="1" applyAlignment="1">
      <alignment horizontal="center"/>
    </xf>
    <xf numFmtId="0" fontId="5" fillId="0" borderId="27" xfId="0" applyFont="1" applyBorder="1" applyAlignment="1">
      <alignment horizontal="center" vertical="center"/>
    </xf>
    <xf numFmtId="4" fontId="10" fillId="0" borderId="72" xfId="0" applyNumberFormat="1" applyFont="1" applyBorder="1" applyAlignment="1">
      <alignment horizontal="center"/>
    </xf>
    <xf numFmtId="4" fontId="10" fillId="0" borderId="50" xfId="0" applyNumberFormat="1" applyFont="1" applyBorder="1" applyAlignment="1">
      <alignment horizontal="center"/>
    </xf>
    <xf numFmtId="0" fontId="10" fillId="0" borderId="94" xfId="1" applyFont="1" applyBorder="1" applyAlignment="1">
      <alignment horizontal="center" vertical="center"/>
    </xf>
    <xf numFmtId="4" fontId="10" fillId="0" borderId="87" xfId="1" applyNumberFormat="1" applyFont="1" applyBorder="1" applyAlignment="1">
      <alignment horizontal="center" vertical="center"/>
    </xf>
    <xf numFmtId="4" fontId="10" fillId="0" borderId="36" xfId="0" applyNumberFormat="1" applyFont="1" applyBorder="1" applyAlignment="1">
      <alignment horizontal="center"/>
    </xf>
    <xf numFmtId="4" fontId="10" fillId="0" borderId="35" xfId="0" applyNumberFormat="1" applyFont="1" applyBorder="1" applyAlignment="1">
      <alignment horizontal="center"/>
    </xf>
    <xf numFmtId="4" fontId="10" fillId="0" borderId="28" xfId="1" applyNumberFormat="1" applyFont="1" applyBorder="1" applyAlignment="1">
      <alignment horizontal="center" vertical="center"/>
    </xf>
    <xf numFmtId="4" fontId="10" fillId="0" borderId="30" xfId="1" applyNumberFormat="1" applyFont="1" applyBorder="1" applyAlignment="1">
      <alignment horizontal="center" vertical="center"/>
    </xf>
    <xf numFmtId="4" fontId="10" fillId="0" borderId="75" xfId="1" applyNumberFormat="1" applyFont="1" applyBorder="1" applyAlignment="1">
      <alignment horizontal="center" vertical="center"/>
    </xf>
    <xf numFmtId="4" fontId="10" fillId="0" borderId="38" xfId="1" applyNumberFormat="1" applyFont="1" applyBorder="1" applyAlignment="1">
      <alignment horizontal="center" vertical="center"/>
    </xf>
    <xf numFmtId="4" fontId="10" fillId="0" borderId="65" xfId="1" applyNumberFormat="1" applyFont="1" applyBorder="1" applyAlignment="1">
      <alignment horizontal="center" vertical="center"/>
    </xf>
    <xf numFmtId="4" fontId="10" fillId="0" borderId="60" xfId="1" applyNumberFormat="1" applyFont="1" applyBorder="1" applyAlignment="1">
      <alignment horizontal="center" vertical="center"/>
    </xf>
    <xf numFmtId="4" fontId="10" fillId="0" borderId="64" xfId="1" applyNumberFormat="1" applyFont="1" applyBorder="1" applyAlignment="1">
      <alignment horizontal="center" vertical="center"/>
    </xf>
    <xf numFmtId="0" fontId="0" fillId="0" borderId="5" xfId="0" applyBorder="1" applyAlignment="1">
      <alignment horizontal="center" vertical="center"/>
    </xf>
    <xf numFmtId="0" fontId="0" fillId="0" borderId="27" xfId="0" applyBorder="1" applyAlignment="1">
      <alignment horizontal="center" vertical="center"/>
    </xf>
    <xf numFmtId="0" fontId="6" fillId="48" borderId="59" xfId="0" applyFont="1" applyFill="1" applyBorder="1" applyAlignment="1" applyProtection="1">
      <alignment horizontal="center" vertical="center"/>
      <protection hidden="1"/>
    </xf>
    <xf numFmtId="0" fontId="10" fillId="50" borderId="101" xfId="1" applyFont="1" applyFill="1" applyBorder="1" applyAlignment="1">
      <alignment horizontal="center" vertical="center"/>
    </xf>
    <xf numFmtId="0" fontId="10" fillId="50" borderId="65" xfId="1" applyFont="1" applyFill="1" applyBorder="1" applyAlignment="1">
      <alignment horizontal="center" vertical="center"/>
    </xf>
    <xf numFmtId="0" fontId="8" fillId="0" borderId="26" xfId="1" applyFont="1" applyBorder="1" applyAlignment="1">
      <alignment horizontal="center" vertical="center"/>
    </xf>
    <xf numFmtId="2" fontId="5" fillId="0" borderId="0" xfId="1" applyNumberFormat="1"/>
    <xf numFmtId="0" fontId="8" fillId="0" borderId="29" xfId="1" applyFont="1" applyBorder="1" applyAlignment="1">
      <alignment horizontal="center" vertical="center"/>
    </xf>
    <xf numFmtId="0" fontId="8" fillId="0" borderId="37" xfId="1" applyFont="1" applyBorder="1" applyAlignment="1">
      <alignment horizontal="center" vertical="center"/>
    </xf>
    <xf numFmtId="0" fontId="8" fillId="0" borderId="31" xfId="1" applyFont="1" applyBorder="1" applyAlignment="1">
      <alignment horizontal="center" vertical="center"/>
    </xf>
    <xf numFmtId="0" fontId="5" fillId="0" borderId="27" xfId="1" applyBorder="1" applyAlignment="1">
      <alignment horizontal="center" vertical="center"/>
    </xf>
    <xf numFmtId="0" fontId="8" fillId="0" borderId="5" xfId="1" applyFont="1" applyBorder="1" applyAlignment="1">
      <alignment horizontal="center" vertical="center"/>
    </xf>
    <xf numFmtId="0" fontId="8" fillId="0" borderId="26" xfId="0" applyFont="1" applyBorder="1" applyAlignment="1">
      <alignment horizontal="center" vertical="center"/>
    </xf>
    <xf numFmtId="0" fontId="8" fillId="0" borderId="29" xfId="0" applyFont="1" applyBorder="1" applyAlignment="1">
      <alignment horizontal="center" vertical="center"/>
    </xf>
    <xf numFmtId="0" fontId="8" fillId="0" borderId="5" xfId="0" applyFont="1" applyBorder="1" applyAlignment="1">
      <alignment horizontal="center" vertical="center"/>
    </xf>
    <xf numFmtId="0" fontId="8" fillId="0" borderId="37" xfId="0" applyFont="1" applyBorder="1" applyAlignment="1">
      <alignment horizontal="center" vertical="center"/>
    </xf>
    <xf numFmtId="0" fontId="8" fillId="0" borderId="16"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66" xfId="0" applyFont="1" applyBorder="1" applyAlignment="1">
      <alignment horizontal="center" vertical="center"/>
    </xf>
    <xf numFmtId="0" fontId="8" fillId="0" borderId="24" xfId="0" applyFont="1" applyBorder="1" applyAlignment="1">
      <alignment horizontal="center" vertical="center"/>
    </xf>
    <xf numFmtId="0" fontId="8" fillId="0" borderId="61" xfId="0" applyFont="1" applyBorder="1" applyAlignment="1">
      <alignment horizontal="center" vertical="center"/>
    </xf>
    <xf numFmtId="0" fontId="8" fillId="0" borderId="41" xfId="0" applyFont="1" applyBorder="1" applyAlignment="1">
      <alignment horizontal="center" vertical="center"/>
    </xf>
    <xf numFmtId="0" fontId="5" fillId="0" borderId="30" xfId="1" applyBorder="1" applyAlignment="1">
      <alignment horizontal="center"/>
    </xf>
    <xf numFmtId="0" fontId="5" fillId="0" borderId="32" xfId="1" applyBorder="1" applyAlignment="1">
      <alignment horizontal="center" vertical="center"/>
    </xf>
    <xf numFmtId="0" fontId="8" fillId="0" borderId="85" xfId="1" applyFont="1" applyBorder="1" applyAlignment="1">
      <alignment horizontal="center" vertical="center"/>
    </xf>
    <xf numFmtId="14" fontId="8" fillId="0" borderId="26" xfId="1" applyNumberFormat="1" applyFont="1" applyBorder="1" applyAlignment="1">
      <alignment horizontal="center" vertical="center"/>
    </xf>
    <xf numFmtId="14" fontId="8" fillId="0" borderId="29" xfId="1" applyNumberFormat="1" applyFont="1" applyBorder="1" applyAlignment="1">
      <alignment horizontal="center" vertical="center"/>
    </xf>
    <xf numFmtId="14" fontId="8" fillId="0" borderId="37" xfId="1" applyNumberFormat="1" applyFont="1" applyBorder="1" applyAlignment="1">
      <alignment horizontal="center" vertical="center"/>
    </xf>
    <xf numFmtId="14" fontId="8" fillId="4" borderId="29" xfId="1" applyNumberFormat="1" applyFont="1" applyFill="1" applyBorder="1" applyAlignment="1">
      <alignment horizontal="center" vertical="center"/>
    </xf>
    <xf numFmtId="14" fontId="8" fillId="4" borderId="31" xfId="1" applyNumberFormat="1" applyFont="1" applyFill="1" applyBorder="1" applyAlignment="1">
      <alignment horizontal="center" vertical="center"/>
    </xf>
    <xf numFmtId="14" fontId="8" fillId="0" borderId="31" xfId="1" applyNumberFormat="1" applyFont="1" applyBorder="1" applyAlignment="1">
      <alignment horizontal="center" vertical="center"/>
    </xf>
    <xf numFmtId="0" fontId="52" fillId="0" borderId="27" xfId="0" applyFont="1" applyBorder="1" applyAlignment="1">
      <alignment horizontal="center" vertical="center"/>
    </xf>
    <xf numFmtId="0" fontId="52" fillId="0" borderId="32" xfId="0" applyFont="1" applyBorder="1" applyAlignment="1">
      <alignment horizontal="center" vertical="center"/>
    </xf>
    <xf numFmtId="14" fontId="8" fillId="50" borderId="100" xfId="1" applyNumberFormat="1" applyFont="1" applyFill="1" applyBorder="1" applyAlignment="1">
      <alignment horizontal="center" vertical="center"/>
    </xf>
    <xf numFmtId="0" fontId="8" fillId="0" borderId="3" xfId="1" applyFont="1" applyBorder="1" applyAlignment="1">
      <alignment horizontal="center" vertical="center" wrapText="1"/>
    </xf>
    <xf numFmtId="0" fontId="0" fillId="0" borderId="59" xfId="0" applyBorder="1" applyAlignment="1">
      <alignment horizontal="center" vertical="center"/>
    </xf>
    <xf numFmtId="0" fontId="0" fillId="0" borderId="4" xfId="0" applyBorder="1" applyAlignment="1">
      <alignment horizontal="center" vertical="center"/>
    </xf>
    <xf numFmtId="0" fontId="0" fillId="51" borderId="66" xfId="0" applyFill="1" applyBorder="1" applyAlignment="1">
      <alignment horizontal="center" vertical="center"/>
    </xf>
    <xf numFmtId="0" fontId="0" fillId="51" borderId="4" xfId="0" applyFill="1" applyBorder="1" applyAlignment="1">
      <alignment horizontal="center" vertical="center"/>
    </xf>
    <xf numFmtId="0" fontId="0" fillId="51" borderId="29" xfId="0" applyFill="1" applyBorder="1" applyAlignment="1">
      <alignment horizontal="center" vertical="center"/>
    </xf>
    <xf numFmtId="0" fontId="0" fillId="51" borderId="5" xfId="0" applyFill="1" applyBorder="1" applyAlignment="1">
      <alignment horizontal="center" vertical="center"/>
    </xf>
    <xf numFmtId="0" fontId="0" fillId="51" borderId="37" xfId="0" applyFill="1" applyBorder="1" applyAlignment="1">
      <alignment horizontal="center" vertical="center"/>
    </xf>
    <xf numFmtId="0" fontId="0" fillId="51" borderId="16" xfId="0" applyFill="1"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51" borderId="6" xfId="0" applyFill="1" applyBorder="1" applyAlignment="1">
      <alignment horizontal="center" vertical="center"/>
    </xf>
    <xf numFmtId="0" fontId="0" fillId="51" borderId="7" xfId="0" applyFill="1" applyBorder="1" applyAlignment="1">
      <alignment horizontal="center" vertical="center"/>
    </xf>
    <xf numFmtId="0" fontId="0" fillId="51" borderId="9" xfId="0" applyFill="1" applyBorder="1" applyAlignment="1">
      <alignment horizontal="center" vertical="center"/>
    </xf>
    <xf numFmtId="0" fontId="0" fillId="51" borderId="34" xfId="0" applyFill="1" applyBorder="1" applyAlignment="1">
      <alignment horizontal="center" vertical="center"/>
    </xf>
    <xf numFmtId="0" fontId="0" fillId="51" borderId="14" xfId="0" applyFill="1" applyBorder="1" applyAlignment="1">
      <alignment horizontal="center" vertical="center"/>
    </xf>
    <xf numFmtId="0" fontId="0" fillId="0" borderId="11" xfId="0" applyBorder="1" applyAlignment="1">
      <alignment horizontal="center"/>
    </xf>
    <xf numFmtId="0" fontId="0" fillId="0" borderId="71" xfId="0" applyBorder="1" applyAlignment="1">
      <alignment horizontal="center"/>
    </xf>
    <xf numFmtId="0" fontId="0" fillId="0" borderId="93" xfId="0" applyBorder="1" applyAlignment="1">
      <alignment horizontal="center"/>
    </xf>
    <xf numFmtId="0" fontId="0" fillId="0" borderId="88" xfId="0" applyBorder="1" applyAlignment="1">
      <alignment horizontal="center"/>
    </xf>
    <xf numFmtId="0" fontId="0" fillId="43" borderId="93" xfId="0" applyFill="1" applyBorder="1" applyAlignment="1">
      <alignment horizontal="center"/>
    </xf>
    <xf numFmtId="0" fontId="0" fillId="43" borderId="88" xfId="0" applyFill="1" applyBorder="1" applyAlignment="1">
      <alignment horizontal="center"/>
    </xf>
    <xf numFmtId="0" fontId="0" fillId="0" borderId="7" xfId="0" applyBorder="1"/>
    <xf numFmtId="0" fontId="0" fillId="0" borderId="9" xfId="0" applyBorder="1"/>
    <xf numFmtId="0" fontId="0" fillId="0" borderId="34" xfId="0" applyBorder="1"/>
    <xf numFmtId="0" fontId="0" fillId="0" borderId="35" xfId="0" applyBorder="1"/>
    <xf numFmtId="0" fontId="0" fillId="0" borderId="105" xfId="0" applyBorder="1"/>
    <xf numFmtId="0" fontId="0" fillId="51" borderId="29" xfId="0" applyFill="1" applyBorder="1" applyAlignment="1">
      <alignment horizontal="center"/>
    </xf>
    <xf numFmtId="0" fontId="0" fillId="51" borderId="37" xfId="0" applyFill="1" applyBorder="1" applyAlignment="1">
      <alignment horizontal="center"/>
    </xf>
    <xf numFmtId="171" fontId="13" fillId="51" borderId="13" xfId="0" applyNumberFormat="1" applyFont="1" applyFill="1" applyBorder="1" applyAlignment="1" applyProtection="1">
      <alignment horizontal="center" vertical="center"/>
      <protection hidden="1"/>
    </xf>
    <xf numFmtId="171" fontId="13" fillId="0" borderId="5" xfId="0" applyNumberFormat="1" applyFont="1" applyBorder="1" applyAlignment="1" applyProtection="1">
      <alignment horizontal="center" vertical="center"/>
      <protection hidden="1"/>
    </xf>
    <xf numFmtId="171" fontId="13" fillId="0" borderId="27" xfId="0" applyNumberFormat="1" applyFont="1" applyBorder="1" applyAlignment="1" applyProtection="1">
      <alignment horizontal="center" vertical="center"/>
      <protection hidden="1"/>
    </xf>
    <xf numFmtId="0" fontId="0" fillId="0" borderId="0" xfId="0" applyAlignment="1">
      <alignment horizontal="left" vertical="top"/>
    </xf>
    <xf numFmtId="0" fontId="13" fillId="0" borderId="29" xfId="0" applyFont="1" applyBorder="1" applyAlignment="1" applyProtection="1">
      <alignment horizontal="center" vertical="center"/>
      <protection hidden="1"/>
    </xf>
    <xf numFmtId="0" fontId="13" fillId="0" borderId="26" xfId="0" applyFont="1" applyBorder="1" applyAlignment="1" applyProtection="1">
      <alignment horizontal="center" vertical="center"/>
      <protection hidden="1"/>
    </xf>
    <xf numFmtId="0" fontId="13" fillId="0" borderId="5" xfId="0" applyFont="1" applyBorder="1" applyAlignment="1" applyProtection="1">
      <alignment horizontal="center" vertical="center"/>
      <protection hidden="1"/>
    </xf>
    <xf numFmtId="0" fontId="13" fillId="0" borderId="4" xfId="0" applyFont="1" applyBorder="1" applyAlignment="1" applyProtection="1">
      <alignment horizontal="center" vertical="center"/>
      <protection hidden="1"/>
    </xf>
    <xf numFmtId="171" fontId="13" fillId="0" borderId="4" xfId="0" applyNumberFormat="1" applyFont="1" applyBorder="1" applyAlignment="1" applyProtection="1">
      <alignment horizontal="center" vertical="center"/>
      <protection hidden="1"/>
    </xf>
    <xf numFmtId="0" fontId="0" fillId="51" borderId="88" xfId="0" applyFill="1" applyBorder="1" applyAlignment="1">
      <alignment horizontal="center"/>
    </xf>
    <xf numFmtId="171" fontId="13" fillId="51" borderId="5" xfId="0" applyNumberFormat="1" applyFont="1" applyFill="1" applyBorder="1" applyAlignment="1" applyProtection="1">
      <alignment horizontal="center" vertical="center"/>
      <protection hidden="1"/>
    </xf>
    <xf numFmtId="0" fontId="0" fillId="51" borderId="70" xfId="0" applyFill="1" applyBorder="1" applyAlignment="1">
      <alignment horizontal="center" vertical="center"/>
    </xf>
    <xf numFmtId="0" fontId="0" fillId="51" borderId="11" xfId="0" applyFill="1" applyBorder="1" applyAlignment="1">
      <alignment horizontal="center" vertical="center"/>
    </xf>
    <xf numFmtId="0" fontId="0" fillId="51" borderId="93" xfId="0" applyFill="1" applyBorder="1" applyAlignment="1">
      <alignment horizontal="center" vertical="center"/>
    </xf>
    <xf numFmtId="0" fontId="0" fillId="51" borderId="88" xfId="0" applyFill="1" applyBorder="1" applyAlignment="1">
      <alignment horizontal="center" vertical="center"/>
    </xf>
    <xf numFmtId="0" fontId="0" fillId="0" borderId="6" xfId="0" applyBorder="1" applyAlignment="1">
      <alignment horizontal="center" vertical="center"/>
    </xf>
    <xf numFmtId="0" fontId="0" fillId="0" borderId="19" xfId="0" applyBorder="1" applyAlignment="1">
      <alignment horizontal="center" vertical="center"/>
    </xf>
    <xf numFmtId="171" fontId="13" fillId="0" borderId="16" xfId="0" applyNumberFormat="1" applyFont="1" applyBorder="1" applyAlignment="1" applyProtection="1">
      <alignment horizontal="center" vertical="center"/>
      <protection hidden="1"/>
    </xf>
    <xf numFmtId="0" fontId="0" fillId="0" borderId="28" xfId="0" applyBorder="1" applyAlignment="1">
      <alignment horizontal="center" vertical="center"/>
    </xf>
    <xf numFmtId="0" fontId="0" fillId="0" borderId="30" xfId="0" applyBorder="1" applyAlignment="1">
      <alignment horizontal="center" vertical="center"/>
    </xf>
    <xf numFmtId="0" fontId="0" fillId="51" borderId="30" xfId="0" applyFill="1" applyBorder="1" applyAlignment="1">
      <alignment horizontal="center" vertical="center"/>
    </xf>
    <xf numFmtId="0" fontId="0" fillId="0" borderId="35" xfId="0" applyBorder="1" applyAlignment="1">
      <alignment horizontal="center" vertical="center"/>
    </xf>
    <xf numFmtId="171" fontId="13" fillId="51" borderId="16" xfId="0" applyNumberFormat="1" applyFont="1" applyFill="1" applyBorder="1" applyAlignment="1" applyProtection="1">
      <alignment horizontal="center" vertical="center"/>
      <protection hidden="1"/>
    </xf>
    <xf numFmtId="0" fontId="0" fillId="0" borderId="104" xfId="0" applyBorder="1" applyAlignment="1">
      <alignment horizontal="center" vertical="center"/>
    </xf>
    <xf numFmtId="171" fontId="13" fillId="51" borderId="17" xfId="0" applyNumberFormat="1" applyFont="1" applyFill="1" applyBorder="1" applyAlignment="1" applyProtection="1">
      <alignment horizontal="center" vertical="center"/>
      <protection hidden="1"/>
    </xf>
    <xf numFmtId="171" fontId="10" fillId="0" borderId="5" xfId="0" applyNumberFormat="1" applyFont="1" applyBorder="1" applyAlignment="1" applyProtection="1">
      <alignment horizontal="center" vertical="center"/>
      <protection hidden="1"/>
    </xf>
    <xf numFmtId="0" fontId="0" fillId="0" borderId="12" xfId="0" applyBorder="1" applyAlignment="1">
      <alignment horizontal="center" vertical="center"/>
    </xf>
    <xf numFmtId="0" fontId="9" fillId="0" borderId="7" xfId="0" applyFont="1" applyBorder="1" applyAlignment="1" applyProtection="1">
      <alignment horizontal="center" vertical="center"/>
      <protection hidden="1"/>
    </xf>
    <xf numFmtId="0" fontId="0" fillId="3" borderId="7" xfId="0" applyFill="1" applyBorder="1" applyAlignment="1">
      <alignment horizontal="left"/>
    </xf>
    <xf numFmtId="0" fontId="36" fillId="3" borderId="7" xfId="0" applyFont="1" applyFill="1" applyBorder="1" applyAlignment="1" applyProtection="1">
      <alignment horizontal="left"/>
      <protection hidden="1"/>
    </xf>
    <xf numFmtId="0" fontId="0" fillId="42" borderId="7" xfId="0" applyFill="1" applyBorder="1" applyAlignment="1">
      <alignment horizontal="left"/>
    </xf>
    <xf numFmtId="0" fontId="0" fillId="46" borderId="7" xfId="0" applyFill="1" applyBorder="1" applyAlignment="1">
      <alignment horizontal="left"/>
    </xf>
    <xf numFmtId="0" fontId="0" fillId="46" borderId="10" xfId="0" applyFill="1" applyBorder="1" applyAlignment="1">
      <alignment horizontal="left"/>
    </xf>
    <xf numFmtId="0" fontId="13" fillId="3" borderId="7" xfId="0" applyFont="1" applyFill="1" applyBorder="1" applyProtection="1">
      <protection hidden="1"/>
    </xf>
    <xf numFmtId="0" fontId="13" fillId="47" borderId="73" xfId="0" applyFont="1" applyFill="1" applyBorder="1" applyProtection="1">
      <protection hidden="1"/>
    </xf>
    <xf numFmtId="0" fontId="0" fillId="0" borderId="96" xfId="0" applyBorder="1" applyAlignment="1">
      <alignment horizontal="left"/>
    </xf>
    <xf numFmtId="0" fontId="0" fillId="0" borderId="59" xfId="0" applyBorder="1"/>
    <xf numFmtId="0" fontId="38" fillId="0" borderId="0" xfId="0" applyFont="1" applyProtection="1">
      <protection hidden="1"/>
    </xf>
    <xf numFmtId="2" fontId="38" fillId="0" borderId="0" xfId="0" applyNumberFormat="1" applyFont="1" applyProtection="1">
      <protection hidden="1"/>
    </xf>
    <xf numFmtId="0" fontId="0" fillId="0" borderId="0" xfId="0" applyAlignment="1" applyProtection="1">
      <alignment horizontal="center"/>
      <protection hidden="1"/>
    </xf>
    <xf numFmtId="2" fontId="0" fillId="0" borderId="0" xfId="0" applyNumberFormat="1" applyAlignment="1" applyProtection="1">
      <alignment vertical="center"/>
      <protection hidden="1"/>
    </xf>
    <xf numFmtId="0" fontId="0" fillId="0" borderId="5" xfId="0" applyBorder="1" applyAlignment="1">
      <alignment horizontal="center"/>
    </xf>
    <xf numFmtId="0" fontId="0" fillId="0" borderId="26" xfId="0" applyBorder="1" applyAlignment="1">
      <alignment horizontal="center"/>
    </xf>
    <xf numFmtId="0" fontId="0" fillId="0" borderId="27" xfId="0" applyBorder="1" applyAlignment="1">
      <alignment horizontal="center"/>
    </xf>
    <xf numFmtId="171" fontId="13" fillId="0" borderId="28" xfId="0" applyNumberFormat="1" applyFont="1" applyBorder="1" applyAlignment="1" applyProtection="1">
      <alignment horizontal="center"/>
      <protection hidden="1"/>
    </xf>
    <xf numFmtId="0" fontId="0" fillId="0" borderId="29" xfId="0" applyBorder="1" applyAlignment="1">
      <alignment horizontal="center"/>
    </xf>
    <xf numFmtId="171" fontId="13" fillId="0" borderId="30" xfId="0" applyNumberFormat="1" applyFont="1" applyBorder="1" applyAlignment="1" applyProtection="1">
      <alignment horizontal="center"/>
      <protection hidden="1"/>
    </xf>
    <xf numFmtId="14" fontId="6" fillId="48" borderId="85" xfId="1" applyNumberFormat="1" applyFont="1" applyFill="1" applyBorder="1" applyAlignment="1" applyProtection="1">
      <alignment horizontal="center" vertical="center"/>
      <protection hidden="1"/>
    </xf>
    <xf numFmtId="14" fontId="6" fillId="48" borderId="86" xfId="1" applyNumberFormat="1" applyFont="1" applyFill="1" applyBorder="1" applyAlignment="1" applyProtection="1">
      <alignment horizontal="center" vertical="center"/>
      <protection hidden="1"/>
    </xf>
    <xf numFmtId="0" fontId="7" fillId="48" borderId="87" xfId="0" applyFont="1" applyFill="1" applyBorder="1" applyAlignment="1" applyProtection="1">
      <alignment horizontal="center" vertical="center"/>
      <protection hidden="1"/>
    </xf>
    <xf numFmtId="0" fontId="0" fillId="51" borderId="5" xfId="0" applyFill="1" applyBorder="1" applyAlignment="1">
      <alignment horizontal="center"/>
    </xf>
    <xf numFmtId="0" fontId="0" fillId="51" borderId="30" xfId="0" applyFill="1" applyBorder="1"/>
    <xf numFmtId="0" fontId="0" fillId="51" borderId="31" xfId="0" applyFill="1" applyBorder="1" applyAlignment="1">
      <alignment horizontal="center"/>
    </xf>
    <xf numFmtId="0" fontId="0" fillId="51" borderId="32" xfId="0" applyFill="1" applyBorder="1" applyAlignment="1">
      <alignment horizontal="center"/>
    </xf>
    <xf numFmtId="0" fontId="0" fillId="51" borderId="75" xfId="0" applyFill="1" applyBorder="1"/>
    <xf numFmtId="0" fontId="0" fillId="51" borderId="4" xfId="0" applyFill="1" applyBorder="1" applyAlignment="1">
      <alignment horizontal="center"/>
    </xf>
    <xf numFmtId="171" fontId="13" fillId="51" borderId="75" xfId="0" applyNumberFormat="1" applyFont="1" applyFill="1" applyBorder="1" applyAlignment="1" applyProtection="1">
      <alignment horizontal="center"/>
      <protection hidden="1"/>
    </xf>
    <xf numFmtId="0" fontId="8" fillId="0" borderId="32" xfId="1" applyFont="1" applyBorder="1" applyAlignment="1">
      <alignment horizontal="center" vertical="center"/>
    </xf>
    <xf numFmtId="171" fontId="13" fillId="0" borderId="87" xfId="0" applyNumberFormat="1" applyFont="1" applyBorder="1" applyAlignment="1" applyProtection="1">
      <alignment horizontal="center"/>
      <protection hidden="1"/>
    </xf>
    <xf numFmtId="171" fontId="13" fillId="0" borderId="35" xfId="0" applyNumberFormat="1" applyFont="1" applyBorder="1" applyAlignment="1" applyProtection="1">
      <alignment horizontal="center"/>
      <protection hidden="1"/>
    </xf>
    <xf numFmtId="0" fontId="54" fillId="0" borderId="0" xfId="0" applyFont="1" applyProtection="1">
      <protection hidden="1"/>
    </xf>
    <xf numFmtId="0" fontId="58" fillId="2" borderId="4" xfId="0" applyFont="1" applyFill="1" applyBorder="1" applyAlignment="1" applyProtection="1">
      <alignment horizontal="center" vertical="center" wrapText="1"/>
      <protection locked="0"/>
    </xf>
    <xf numFmtId="165" fontId="56" fillId="44" borderId="26" xfId="0" applyNumberFormat="1" applyFont="1" applyFill="1" applyBorder="1" applyAlignment="1" applyProtection="1">
      <alignment horizontal="center" vertical="center" wrapText="1"/>
      <protection hidden="1"/>
    </xf>
    <xf numFmtId="165" fontId="56" fillId="44" borderId="103" xfId="0" applyNumberFormat="1" applyFont="1" applyFill="1" applyBorder="1" applyAlignment="1" applyProtection="1">
      <alignment horizontal="center" vertical="center" wrapText="1"/>
      <protection hidden="1"/>
    </xf>
    <xf numFmtId="2" fontId="56" fillId="43" borderId="66" xfId="0" applyNumberFormat="1" applyFont="1" applyFill="1" applyBorder="1" applyAlignment="1" applyProtection="1">
      <alignment horizontal="center" vertical="center" wrapText="1"/>
      <protection hidden="1"/>
    </xf>
    <xf numFmtId="165" fontId="56" fillId="43" borderId="4" xfId="0" applyNumberFormat="1" applyFont="1" applyFill="1" applyBorder="1" applyAlignment="1" applyProtection="1">
      <alignment horizontal="center" vertical="center"/>
      <protection hidden="1"/>
    </xf>
    <xf numFmtId="165" fontId="56" fillId="43" borderId="64" xfId="0" applyNumberFormat="1" applyFont="1" applyFill="1" applyBorder="1" applyAlignment="1" applyProtection="1">
      <alignment horizontal="center" vertical="center"/>
      <protection hidden="1"/>
    </xf>
    <xf numFmtId="165" fontId="56" fillId="45" borderId="99" xfId="0" applyNumberFormat="1" applyFont="1" applyFill="1" applyBorder="1" applyAlignment="1" applyProtection="1">
      <alignment horizontal="center" vertical="center" wrapText="1"/>
      <protection hidden="1"/>
    </xf>
    <xf numFmtId="165" fontId="56" fillId="45" borderId="27" xfId="0" applyNumberFormat="1" applyFont="1" applyFill="1" applyBorder="1" applyAlignment="1" applyProtection="1">
      <alignment horizontal="center" vertical="center" wrapText="1"/>
      <protection hidden="1"/>
    </xf>
    <xf numFmtId="165" fontId="56" fillId="45" borderId="27" xfId="0" applyNumberFormat="1" applyFont="1" applyFill="1" applyBorder="1" applyAlignment="1" applyProtection="1">
      <alignment horizontal="center" vertical="center"/>
      <protection hidden="1"/>
    </xf>
    <xf numFmtId="0" fontId="56" fillId="45" borderId="28" xfId="0" applyFont="1" applyFill="1" applyBorder="1" applyAlignment="1" applyProtection="1">
      <alignment horizontal="center" vertical="center"/>
      <protection hidden="1"/>
    </xf>
    <xf numFmtId="165" fontId="56" fillId="47" borderId="27" xfId="0" applyNumberFormat="1" applyFont="1" applyFill="1" applyBorder="1" applyAlignment="1" applyProtection="1">
      <alignment horizontal="center" vertical="center"/>
      <protection hidden="1"/>
    </xf>
    <xf numFmtId="0" fontId="56" fillId="0" borderId="0" xfId="0" applyFont="1" applyProtection="1">
      <protection hidden="1"/>
    </xf>
    <xf numFmtId="165" fontId="56" fillId="44" borderId="66" xfId="0" applyNumberFormat="1" applyFont="1" applyFill="1" applyBorder="1" applyAlignment="1" applyProtection="1">
      <alignment horizontal="center" vertical="center" wrapText="1"/>
      <protection hidden="1"/>
    </xf>
    <xf numFmtId="165" fontId="56" fillId="44" borderId="61" xfId="0" applyNumberFormat="1" applyFont="1" applyFill="1" applyBorder="1" applyAlignment="1" applyProtection="1">
      <alignment horizontal="center" vertical="center" wrapText="1"/>
      <protection hidden="1"/>
    </xf>
    <xf numFmtId="0" fontId="57" fillId="0" borderId="0" xfId="0" applyFont="1" applyAlignment="1" applyProtection="1">
      <alignment vertical="center"/>
      <protection hidden="1"/>
    </xf>
    <xf numFmtId="165" fontId="56" fillId="47" borderId="103" xfId="0" applyNumberFormat="1" applyFont="1" applyFill="1" applyBorder="1" applyAlignment="1" applyProtection="1">
      <alignment horizontal="center" vertical="center"/>
      <protection hidden="1"/>
    </xf>
    <xf numFmtId="0" fontId="56" fillId="0" borderId="25" xfId="0" applyFont="1" applyBorder="1" applyAlignment="1" applyProtection="1">
      <alignment horizontal="center" vertical="center"/>
      <protection hidden="1"/>
    </xf>
    <xf numFmtId="0" fontId="57" fillId="0" borderId="25" xfId="0" applyFont="1" applyBorder="1" applyAlignment="1" applyProtection="1">
      <alignment horizontal="center" vertical="center" wrapText="1"/>
      <protection hidden="1"/>
    </xf>
    <xf numFmtId="165" fontId="56" fillId="0" borderId="6" xfId="0" applyNumberFormat="1" applyFont="1" applyBorder="1" applyAlignment="1" applyProtection="1">
      <alignment horizontal="center" vertical="center"/>
      <protection hidden="1"/>
    </xf>
    <xf numFmtId="0" fontId="56" fillId="0" borderId="7" xfId="0" applyFont="1" applyBorder="1" applyAlignment="1" applyProtection="1">
      <alignment horizontal="center" vertical="center"/>
      <protection hidden="1"/>
    </xf>
    <xf numFmtId="167" fontId="64" fillId="6" borderId="106" xfId="0" applyNumberFormat="1" applyFont="1" applyFill="1" applyBorder="1" applyAlignment="1" applyProtection="1">
      <alignment horizontal="center" vertical="center"/>
      <protection hidden="1"/>
    </xf>
    <xf numFmtId="0" fontId="31" fillId="0" borderId="0" xfId="0" applyFont="1" applyProtection="1">
      <protection hidden="1"/>
    </xf>
    <xf numFmtId="0" fontId="46" fillId="0" borderId="0" xfId="0" applyFont="1" applyProtection="1">
      <protection hidden="1"/>
    </xf>
    <xf numFmtId="9" fontId="46" fillId="0" borderId="0" xfId="0" applyNumberFormat="1" applyFont="1" applyProtection="1">
      <protection hidden="1"/>
    </xf>
    <xf numFmtId="168" fontId="46" fillId="0" borderId="0" xfId="0" applyNumberFormat="1" applyFont="1" applyProtection="1">
      <protection hidden="1"/>
    </xf>
    <xf numFmtId="169" fontId="0" fillId="0" borderId="0" xfId="0" applyNumberFormat="1" applyProtection="1">
      <protection hidden="1"/>
    </xf>
    <xf numFmtId="0" fontId="10" fillId="0" borderId="0" xfId="0" applyFont="1" applyProtection="1">
      <protection hidden="1"/>
    </xf>
    <xf numFmtId="0" fontId="13" fillId="0" borderId="0" xfId="0" applyFont="1" applyAlignment="1" applyProtection="1">
      <alignment vertical="center"/>
      <protection hidden="1"/>
    </xf>
    <xf numFmtId="0" fontId="44" fillId="0" borderId="0" xfId="0" applyFont="1" applyProtection="1">
      <protection hidden="1"/>
    </xf>
    <xf numFmtId="4" fontId="13" fillId="0" borderId="0" xfId="0" applyNumberFormat="1" applyFont="1" applyProtection="1">
      <protection hidden="1"/>
    </xf>
    <xf numFmtId="0" fontId="58" fillId="2" borderId="66" xfId="0" applyFont="1" applyFill="1" applyBorder="1" applyAlignment="1" applyProtection="1">
      <alignment horizontal="center" vertical="center" wrapText="1"/>
      <protection locked="0"/>
    </xf>
    <xf numFmtId="0" fontId="59" fillId="0" borderId="4" xfId="0" applyFont="1" applyBorder="1" applyAlignment="1" applyProtection="1">
      <alignment horizontal="center" vertical="center"/>
      <protection locked="0"/>
    </xf>
    <xf numFmtId="0" fontId="59" fillId="0" borderId="64" xfId="0" applyFont="1" applyBorder="1" applyAlignment="1" applyProtection="1">
      <alignment horizontal="center" vertical="center"/>
      <protection locked="0"/>
    </xf>
    <xf numFmtId="0" fontId="56" fillId="0" borderId="4" xfId="0" applyFont="1" applyBorder="1" applyAlignment="1" applyProtection="1">
      <alignment horizontal="center" vertical="center"/>
      <protection locked="0"/>
    </xf>
    <xf numFmtId="0" fontId="56" fillId="0" borderId="64" xfId="0" applyFont="1" applyBorder="1" applyAlignment="1" applyProtection="1">
      <alignment horizontal="center" vertical="center"/>
      <protection locked="0"/>
    </xf>
    <xf numFmtId="0" fontId="58" fillId="2" borderId="5" xfId="0" applyFont="1" applyFill="1" applyBorder="1" applyAlignment="1" applyProtection="1">
      <alignment horizontal="center" vertical="center" wrapText="1"/>
      <protection locked="0"/>
    </xf>
    <xf numFmtId="0" fontId="56" fillId="0" borderId="5" xfId="0" applyFont="1" applyBorder="1" applyAlignment="1" applyProtection="1">
      <alignment horizontal="center" vertical="center"/>
      <protection locked="0"/>
    </xf>
    <xf numFmtId="0" fontId="56" fillId="2" borderId="5" xfId="0" applyFont="1" applyFill="1" applyBorder="1" applyAlignment="1" applyProtection="1">
      <alignment horizontal="center" vertical="center"/>
      <protection locked="0"/>
    </xf>
    <xf numFmtId="0" fontId="56" fillId="0" borderId="30" xfId="0" applyFont="1" applyBorder="1" applyAlignment="1" applyProtection="1">
      <alignment horizontal="center" vertical="center"/>
      <protection locked="0"/>
    </xf>
    <xf numFmtId="0" fontId="60" fillId="0" borderId="7" xfId="0" applyFont="1" applyBorder="1" applyAlignment="1" applyProtection="1">
      <alignment horizontal="center" vertical="center" wrapText="1"/>
      <protection locked="0"/>
    </xf>
    <xf numFmtId="0" fontId="60" fillId="0" borderId="9" xfId="0" applyFont="1" applyBorder="1" applyAlignment="1" applyProtection="1">
      <alignment horizontal="center" vertical="center" wrapText="1"/>
      <protection locked="0"/>
    </xf>
    <xf numFmtId="0" fontId="54" fillId="0" borderId="14" xfId="0" applyFont="1" applyBorder="1" applyAlignment="1" applyProtection="1">
      <alignment horizontal="center" vertical="center"/>
      <protection hidden="1"/>
    </xf>
    <xf numFmtId="0" fontId="54" fillId="0" borderId="19" xfId="0" applyFont="1" applyBorder="1" applyAlignment="1" applyProtection="1">
      <alignment horizontal="center" vertical="center"/>
      <protection hidden="1"/>
    </xf>
    <xf numFmtId="0" fontId="58" fillId="2" borderId="29" xfId="0" applyFont="1" applyFill="1" applyBorder="1" applyAlignment="1" applyProtection="1">
      <alignment horizontal="center" vertical="center" wrapText="1"/>
      <protection locked="0"/>
    </xf>
    <xf numFmtId="0" fontId="58" fillId="0" borderId="5" xfId="0" applyFont="1" applyBorder="1" applyAlignment="1" applyProtection="1">
      <alignment horizontal="center" vertical="center" wrapText="1"/>
      <protection locked="0"/>
    </xf>
    <xf numFmtId="0" fontId="58" fillId="2" borderId="30" xfId="0" applyFont="1" applyFill="1" applyBorder="1" applyAlignment="1" applyProtection="1">
      <alignment horizontal="center" vertical="center" wrapText="1"/>
      <protection locked="0"/>
    </xf>
    <xf numFmtId="4" fontId="57" fillId="6" borderId="29" xfId="0" applyNumberFormat="1" applyFont="1" applyFill="1" applyBorder="1" applyAlignment="1" applyProtection="1">
      <alignment horizontal="center" vertical="center" wrapText="1"/>
      <protection hidden="1"/>
    </xf>
    <xf numFmtId="2" fontId="56" fillId="44" borderId="29" xfId="0" applyNumberFormat="1" applyFont="1" applyFill="1" applyBorder="1" applyAlignment="1" applyProtection="1">
      <alignment horizontal="center" vertical="center"/>
      <protection hidden="1"/>
    </xf>
    <xf numFmtId="2" fontId="56" fillId="44" borderId="30" xfId="0" applyNumberFormat="1" applyFont="1" applyFill="1" applyBorder="1" applyAlignment="1" applyProtection="1">
      <alignment horizontal="center" vertical="center"/>
      <protection hidden="1"/>
    </xf>
    <xf numFmtId="0" fontId="56" fillId="43" borderId="30" xfId="0" applyFont="1" applyFill="1" applyBorder="1" applyAlignment="1" applyProtection="1">
      <alignment horizontal="center" vertical="center"/>
      <protection hidden="1"/>
    </xf>
    <xf numFmtId="2" fontId="56" fillId="45" borderId="29" xfId="0" applyNumberFormat="1" applyFont="1" applyFill="1" applyBorder="1" applyAlignment="1" applyProtection="1">
      <alignment horizontal="center" vertical="center"/>
      <protection hidden="1"/>
    </xf>
    <xf numFmtId="2" fontId="56" fillId="45" borderId="5" xfId="0" applyNumberFormat="1" applyFont="1" applyFill="1" applyBorder="1" applyAlignment="1" applyProtection="1">
      <alignment horizontal="center" vertical="center"/>
      <protection hidden="1"/>
    </xf>
    <xf numFmtId="2" fontId="56" fillId="45" borderId="30" xfId="0" applyNumberFormat="1" applyFont="1" applyFill="1" applyBorder="1" applyAlignment="1" applyProtection="1">
      <alignment horizontal="center" vertical="center"/>
      <protection hidden="1"/>
    </xf>
    <xf numFmtId="0" fontId="58" fillId="2" borderId="31" xfId="0" applyFont="1" applyFill="1" applyBorder="1" applyAlignment="1" applyProtection="1">
      <alignment horizontal="center" vertical="center" wrapText="1"/>
      <protection locked="0"/>
    </xf>
    <xf numFmtId="0" fontId="58" fillId="2" borderId="32" xfId="0" applyFont="1" applyFill="1" applyBorder="1" applyAlignment="1" applyProtection="1">
      <alignment horizontal="center" vertical="center" wrapText="1"/>
      <protection locked="0"/>
    </xf>
    <xf numFmtId="0" fontId="58" fillId="0" borderId="32" xfId="0" applyFont="1" applyBorder="1" applyAlignment="1" applyProtection="1">
      <alignment horizontal="center" vertical="center" wrapText="1"/>
      <protection locked="0"/>
    </xf>
    <xf numFmtId="0" fontId="58" fillId="2" borderId="75" xfId="0" applyFont="1" applyFill="1" applyBorder="1" applyAlignment="1" applyProtection="1">
      <alignment horizontal="center" vertical="center" wrapText="1"/>
      <protection locked="0"/>
    </xf>
    <xf numFmtId="0" fontId="68" fillId="3" borderId="29" xfId="0" applyFont="1" applyFill="1" applyBorder="1" applyAlignment="1" applyProtection="1">
      <alignment horizontal="center" vertical="center" wrapText="1"/>
      <protection hidden="1"/>
    </xf>
    <xf numFmtId="0" fontId="3" fillId="3" borderId="5" xfId="0" applyFont="1" applyFill="1" applyBorder="1" applyAlignment="1" applyProtection="1">
      <alignment horizontal="center" vertical="center" wrapText="1"/>
      <protection hidden="1"/>
    </xf>
    <xf numFmtId="0" fontId="3" fillId="3" borderId="30" xfId="0" applyFont="1" applyFill="1" applyBorder="1" applyAlignment="1" applyProtection="1">
      <alignment horizontal="center" vertical="center" wrapText="1"/>
      <protection hidden="1"/>
    </xf>
    <xf numFmtId="0" fontId="55" fillId="3" borderId="41" xfId="0" applyFont="1" applyFill="1" applyBorder="1" applyAlignment="1" applyProtection="1">
      <alignment horizontal="center" vertical="center" wrapText="1"/>
      <protection hidden="1"/>
    </xf>
    <xf numFmtId="0" fontId="55" fillId="3" borderId="62" xfId="0" applyFont="1" applyFill="1" applyBorder="1" applyAlignment="1" applyProtection="1">
      <alignment horizontal="center" vertical="center" wrapText="1"/>
      <protection hidden="1"/>
    </xf>
    <xf numFmtId="0" fontId="55" fillId="3" borderId="60" xfId="0" applyFont="1" applyFill="1" applyBorder="1" applyAlignment="1" applyProtection="1">
      <alignment horizontal="center" vertical="center" wrapText="1"/>
      <protection hidden="1"/>
    </xf>
    <xf numFmtId="0" fontId="56" fillId="0" borderId="97" xfId="0" applyFont="1" applyBorder="1" applyAlignment="1" applyProtection="1">
      <alignment horizontal="center" vertical="center" wrapText="1"/>
      <protection locked="0"/>
    </xf>
    <xf numFmtId="0" fontId="40" fillId="0" borderId="86" xfId="0" applyFont="1" applyBorder="1" applyAlignment="1" applyProtection="1">
      <alignment horizontal="left" vertical="center"/>
      <protection hidden="1"/>
    </xf>
    <xf numFmtId="0" fontId="3" fillId="53" borderId="86" xfId="0" applyFont="1" applyFill="1" applyBorder="1" applyAlignment="1" applyProtection="1">
      <alignment horizontal="center" vertical="center"/>
      <protection hidden="1"/>
    </xf>
    <xf numFmtId="0" fontId="0" fillId="0" borderId="86" xfId="0" applyBorder="1" applyProtection="1">
      <protection hidden="1"/>
    </xf>
    <xf numFmtId="0" fontId="35" fillId="0" borderId="86" xfId="0" applyFont="1" applyBorder="1" applyAlignment="1" applyProtection="1">
      <alignment horizontal="left" vertical="center"/>
      <protection hidden="1"/>
    </xf>
    <xf numFmtId="0" fontId="66" fillId="0" borderId="86" xfId="0" applyFont="1" applyBorder="1" applyAlignment="1" applyProtection="1">
      <alignment horizontal="right" vertical="center"/>
      <protection hidden="1"/>
    </xf>
    <xf numFmtId="0" fontId="3" fillId="0" borderId="86" xfId="0" applyFont="1" applyBorder="1" applyAlignment="1" applyProtection="1">
      <alignment horizontal="left" vertical="center" wrapText="1"/>
      <protection hidden="1"/>
    </xf>
    <xf numFmtId="0" fontId="3" fillId="0" borderId="86" xfId="0" applyFont="1" applyBorder="1" applyAlignment="1" applyProtection="1">
      <alignment horizontal="right" vertical="center" wrapText="1" indent="1"/>
      <protection hidden="1"/>
    </xf>
    <xf numFmtId="0" fontId="3" fillId="0" borderId="86" xfId="0" applyFont="1" applyBorder="1" applyAlignment="1" applyProtection="1">
      <alignment horizontal="left" vertical="center" wrapText="1" indent="1"/>
      <protection locked="0"/>
    </xf>
    <xf numFmtId="0" fontId="69" fillId="2" borderId="4" xfId="0" applyFont="1" applyFill="1" applyBorder="1" applyAlignment="1" applyProtection="1">
      <alignment horizontal="center" vertical="center"/>
      <protection locked="0"/>
    </xf>
    <xf numFmtId="0" fontId="0" fillId="0" borderId="45" xfId="0" applyBorder="1" applyAlignment="1">
      <alignment horizontal="center" vertical="center"/>
    </xf>
    <xf numFmtId="0" fontId="31" fillId="54" borderId="59" xfId="0" applyFont="1" applyFill="1" applyBorder="1" applyAlignment="1">
      <alignment horizontal="center"/>
    </xf>
    <xf numFmtId="0" fontId="0" fillId="0" borderId="0" xfId="0" applyAlignment="1">
      <alignment horizontal="justify"/>
    </xf>
    <xf numFmtId="0" fontId="73" fillId="0" borderId="0" xfId="0" applyFont="1" applyAlignment="1">
      <alignment horizontal="justify" vertical="center" wrapText="1"/>
    </xf>
    <xf numFmtId="171" fontId="10" fillId="0" borderId="59" xfId="0" applyNumberFormat="1" applyFont="1" applyBorder="1" applyAlignment="1" applyProtection="1">
      <alignment horizontal="center"/>
      <protection hidden="1"/>
    </xf>
    <xf numFmtId="0" fontId="9" fillId="0" borderId="12" xfId="0" applyFont="1" applyBorder="1" applyAlignment="1" applyProtection="1">
      <alignment horizontal="center" vertical="center"/>
      <protection hidden="1"/>
    </xf>
    <xf numFmtId="171" fontId="10" fillId="0" borderId="5" xfId="0" applyNumberFormat="1" applyFont="1" applyBorder="1" applyAlignment="1" applyProtection="1">
      <alignment horizontal="center"/>
      <protection hidden="1"/>
    </xf>
    <xf numFmtId="164" fontId="10" fillId="0" borderId="59" xfId="45" applyFont="1" applyFill="1" applyBorder="1" applyProtection="1">
      <protection locked="0"/>
    </xf>
    <xf numFmtId="171" fontId="10" fillId="0" borderId="16" xfId="0" applyNumberFormat="1" applyFont="1" applyBorder="1" applyAlignment="1" applyProtection="1">
      <alignment horizontal="center"/>
      <protection hidden="1"/>
    </xf>
    <xf numFmtId="0" fontId="0" fillId="0" borderId="10" xfId="0" applyBorder="1" applyAlignment="1">
      <alignment horizontal="center" vertical="center"/>
    </xf>
    <xf numFmtId="171" fontId="10" fillId="0" borderId="96" xfId="0" applyNumberFormat="1" applyFont="1" applyBorder="1" applyAlignment="1" applyProtection="1">
      <alignment horizontal="center"/>
      <protection hidden="1"/>
    </xf>
    <xf numFmtId="171" fontId="10" fillId="0" borderId="59" xfId="0" applyNumberFormat="1" applyFont="1" applyBorder="1" applyAlignment="1" applyProtection="1">
      <alignment horizontal="center" vertical="center"/>
      <protection hidden="1"/>
    </xf>
    <xf numFmtId="0" fontId="0" fillId="0" borderId="96" xfId="0" applyBorder="1" applyAlignment="1">
      <alignment horizontal="center"/>
    </xf>
    <xf numFmtId="171" fontId="10" fillId="0" borderId="6" xfId="0" applyNumberFormat="1" applyFont="1" applyBorder="1" applyAlignment="1" applyProtection="1">
      <alignment vertical="center"/>
      <protection hidden="1"/>
    </xf>
    <xf numFmtId="0" fontId="49" fillId="0" borderId="59" xfId="0" applyFont="1" applyBorder="1" applyAlignment="1">
      <alignment horizontal="center" vertical="center"/>
    </xf>
    <xf numFmtId="171" fontId="10" fillId="0" borderId="59" xfId="0" applyNumberFormat="1" applyFont="1" applyBorder="1" applyAlignment="1" applyProtection="1">
      <alignment vertical="center"/>
      <protection hidden="1"/>
    </xf>
    <xf numFmtId="0" fontId="0" fillId="0" borderId="97" xfId="0" applyBorder="1" applyAlignment="1">
      <alignment horizontal="center"/>
    </xf>
    <xf numFmtId="0" fontId="51" fillId="0" borderId="26" xfId="0" applyFont="1" applyBorder="1" applyAlignment="1">
      <alignment horizontal="center" vertical="center"/>
    </xf>
    <xf numFmtId="0" fontId="0" fillId="0" borderId="103" xfId="0" applyBorder="1" applyAlignment="1">
      <alignment horizontal="center" vertical="center"/>
    </xf>
    <xf numFmtId="0" fontId="51" fillId="0" borderId="29" xfId="0" applyFont="1" applyBorder="1" applyAlignment="1">
      <alignment horizontal="center" vertical="center"/>
    </xf>
    <xf numFmtId="0" fontId="49" fillId="0" borderId="14" xfId="0" applyFont="1" applyBorder="1" applyAlignment="1">
      <alignment horizontal="center" vertical="center"/>
    </xf>
    <xf numFmtId="171" fontId="13" fillId="0" borderId="18" xfId="0" applyNumberFormat="1" applyFont="1" applyBorder="1" applyAlignment="1" applyProtection="1">
      <alignment horizontal="center" vertical="center"/>
      <protection hidden="1"/>
    </xf>
    <xf numFmtId="0" fontId="0" fillId="0" borderId="33" xfId="0" applyBorder="1" applyAlignment="1">
      <alignment horizontal="center" vertical="center"/>
    </xf>
    <xf numFmtId="0" fontId="0" fillId="55" borderId="26" xfId="0" applyFill="1" applyBorder="1" applyAlignment="1">
      <alignment horizontal="center"/>
    </xf>
    <xf numFmtId="0" fontId="0" fillId="55" borderId="29" xfId="0" applyFill="1" applyBorder="1" applyAlignment="1">
      <alignment horizontal="center"/>
    </xf>
    <xf numFmtId="14" fontId="8" fillId="55" borderId="26" xfId="1" applyNumberFormat="1" applyFont="1" applyFill="1" applyBorder="1" applyAlignment="1">
      <alignment horizontal="center" vertical="center"/>
    </xf>
    <xf numFmtId="14" fontId="8" fillId="55" borderId="66" xfId="1" applyNumberFormat="1" applyFont="1" applyFill="1" applyBorder="1" applyAlignment="1">
      <alignment horizontal="center" vertical="center"/>
    </xf>
    <xf numFmtId="0" fontId="8" fillId="55" borderId="26" xfId="1" applyFont="1" applyFill="1" applyBorder="1" applyAlignment="1">
      <alignment horizontal="center" vertical="center" wrapText="1"/>
    </xf>
    <xf numFmtId="0" fontId="8" fillId="55" borderId="31" xfId="1" applyFont="1" applyFill="1" applyBorder="1" applyAlignment="1">
      <alignment horizontal="center" vertical="center" wrapText="1"/>
    </xf>
    <xf numFmtId="174" fontId="57" fillId="6" borderId="59" xfId="0" applyNumberFormat="1" applyFont="1" applyFill="1" applyBorder="1" applyAlignment="1" applyProtection="1">
      <alignment horizontal="center" vertical="center"/>
      <protection hidden="1"/>
    </xf>
    <xf numFmtId="174" fontId="64" fillId="6" borderId="25" xfId="0" applyNumberFormat="1" applyFont="1" applyFill="1" applyBorder="1" applyAlignment="1" applyProtection="1">
      <alignment horizontal="center" vertical="center" wrapText="1"/>
      <protection hidden="1"/>
    </xf>
    <xf numFmtId="2" fontId="31" fillId="53" borderId="0" xfId="46" applyNumberFormat="1" applyFont="1" applyFill="1" applyProtection="1">
      <protection locked="0"/>
    </xf>
    <xf numFmtId="2" fontId="64" fillId="6" borderId="71" xfId="0" applyNumberFormat="1" applyFont="1" applyFill="1" applyBorder="1" applyAlignment="1" applyProtection="1">
      <alignment horizontal="center" vertical="center" wrapText="1"/>
      <protection hidden="1"/>
    </xf>
    <xf numFmtId="0" fontId="0" fillId="0" borderId="0" xfId="0" applyAlignment="1" applyProtection="1">
      <alignment vertical="center"/>
      <protection hidden="1"/>
    </xf>
    <xf numFmtId="174" fontId="63" fillId="6" borderId="86" xfId="0" applyNumberFormat="1" applyFont="1" applyFill="1" applyBorder="1" applyAlignment="1" applyProtection="1">
      <alignment horizontal="center" vertical="center"/>
      <protection hidden="1"/>
    </xf>
    <xf numFmtId="0" fontId="4" fillId="0" borderId="101" xfId="0" applyFont="1" applyBorder="1" applyAlignment="1" applyProtection="1">
      <alignment horizontal="right" vertical="center"/>
      <protection hidden="1"/>
    </xf>
    <xf numFmtId="0" fontId="74" fillId="53" borderId="101" xfId="0" applyFont="1" applyFill="1" applyBorder="1" applyAlignment="1" applyProtection="1">
      <alignment horizontal="center" vertical="center"/>
      <protection hidden="1"/>
    </xf>
    <xf numFmtId="4" fontId="57" fillId="6" borderId="31" xfId="0" applyNumberFormat="1" applyFont="1" applyFill="1" applyBorder="1" applyAlignment="1" applyProtection="1">
      <alignment horizontal="center" vertical="center" wrapText="1"/>
      <protection hidden="1"/>
    </xf>
    <xf numFmtId="0" fontId="58" fillId="53" borderId="5" xfId="0" applyFont="1" applyFill="1" applyBorder="1" applyAlignment="1" applyProtection="1">
      <alignment horizontal="center" vertical="center" wrapText="1"/>
      <protection locked="0"/>
    </xf>
    <xf numFmtId="0" fontId="58" fillId="53" borderId="16" xfId="0" applyFont="1" applyFill="1" applyBorder="1" applyAlignment="1" applyProtection="1">
      <alignment horizontal="center" vertical="center" wrapText="1"/>
      <protection locked="0"/>
    </xf>
    <xf numFmtId="0" fontId="42" fillId="0" borderId="0" xfId="44" applyFont="1" applyBorder="1" applyAlignment="1" applyProtection="1">
      <alignment horizontal="left"/>
      <protection hidden="1"/>
    </xf>
    <xf numFmtId="0" fontId="73" fillId="0" borderId="0" xfId="0" applyFont="1" applyAlignment="1">
      <alignment horizontal="justify" vertical="center" wrapText="1"/>
    </xf>
    <xf numFmtId="0" fontId="13" fillId="0" borderId="66" xfId="0" applyFont="1" applyBorder="1" applyAlignment="1" applyProtection="1">
      <alignment horizontal="center" vertical="center"/>
      <protection hidden="1"/>
    </xf>
    <xf numFmtId="0" fontId="0" fillId="0" borderId="64" xfId="0" applyBorder="1" applyAlignment="1">
      <alignment horizontal="center" vertical="center"/>
    </xf>
    <xf numFmtId="0" fontId="0" fillId="0" borderId="72" xfId="0" applyBorder="1" applyAlignment="1">
      <alignment horizontal="center" vertical="center"/>
    </xf>
    <xf numFmtId="171" fontId="10" fillId="9" borderId="96" xfId="0" applyNumberFormat="1" applyFont="1" applyFill="1" applyBorder="1" applyAlignment="1" applyProtection="1">
      <alignment horizontal="center"/>
      <protection hidden="1"/>
    </xf>
    <xf numFmtId="171" fontId="10" fillId="9" borderId="59" xfId="0" applyNumberFormat="1" applyFont="1" applyFill="1" applyBorder="1" applyAlignment="1" applyProtection="1">
      <alignment horizontal="center" vertical="center"/>
      <protection hidden="1"/>
    </xf>
    <xf numFmtId="171" fontId="10" fillId="9" borderId="4" xfId="0" applyNumberFormat="1" applyFont="1" applyFill="1" applyBorder="1" applyAlignment="1" applyProtection="1">
      <alignment horizontal="center" vertical="center"/>
      <protection hidden="1"/>
    </xf>
    <xf numFmtId="171" fontId="10" fillId="9" borderId="32" xfId="0" applyNumberFormat="1" applyFont="1" applyFill="1" applyBorder="1" applyAlignment="1" applyProtection="1">
      <alignment horizontal="center" vertical="center"/>
      <protection hidden="1"/>
    </xf>
    <xf numFmtId="171" fontId="10" fillId="9" borderId="28" xfId="0" applyNumberFormat="1" applyFont="1" applyFill="1" applyBorder="1" applyAlignment="1" applyProtection="1">
      <alignment horizontal="center"/>
      <protection hidden="1"/>
    </xf>
    <xf numFmtId="171" fontId="10" fillId="9" borderId="75" xfId="0" applyNumberFormat="1" applyFont="1" applyFill="1" applyBorder="1" applyAlignment="1" applyProtection="1">
      <alignment horizontal="center"/>
      <protection hidden="1"/>
    </xf>
    <xf numFmtId="0" fontId="10" fillId="0" borderId="2" xfId="1" applyFont="1" applyBorder="1" applyAlignment="1">
      <alignment vertical="center" wrapText="1"/>
    </xf>
    <xf numFmtId="0" fontId="10" fillId="0" borderId="0" xfId="1" applyFont="1" applyBorder="1" applyAlignment="1">
      <alignment vertical="center" wrapText="1"/>
    </xf>
    <xf numFmtId="165" fontId="56" fillId="44" borderId="6" xfId="0" applyNumberFormat="1" applyFont="1" applyFill="1" applyBorder="1" applyAlignment="1" applyProtection="1">
      <alignment horizontal="center" vertical="center" wrapText="1"/>
      <protection hidden="1"/>
    </xf>
    <xf numFmtId="0" fontId="0" fillId="0" borderId="101" xfId="0" applyBorder="1" applyProtection="1">
      <protection hidden="1"/>
    </xf>
    <xf numFmtId="165" fontId="56" fillId="44" borderId="71" xfId="0" applyNumberFormat="1" applyFont="1" applyFill="1" applyBorder="1" applyAlignment="1" applyProtection="1">
      <alignment horizontal="center" vertical="center" wrapText="1"/>
      <protection hidden="1"/>
    </xf>
    <xf numFmtId="3" fontId="31" fillId="53" borderId="86" xfId="0" applyNumberFormat="1" applyFont="1" applyFill="1" applyBorder="1" applyAlignment="1" applyProtection="1">
      <alignment horizontal="center" vertical="center"/>
      <protection hidden="1"/>
    </xf>
    <xf numFmtId="0" fontId="75" fillId="53" borderId="0" xfId="0" applyFont="1" applyFill="1" applyProtection="1">
      <protection locked="0"/>
    </xf>
    <xf numFmtId="0" fontId="53" fillId="53" borderId="86" xfId="0" applyFont="1" applyFill="1" applyBorder="1" applyAlignment="1" applyProtection="1">
      <alignment horizontal="center" vertical="center"/>
      <protection hidden="1"/>
    </xf>
    <xf numFmtId="2" fontId="56" fillId="44" borderId="12" xfId="0" applyNumberFormat="1" applyFont="1" applyFill="1" applyBorder="1" applyAlignment="1" applyProtection="1">
      <alignment horizontal="center" vertical="center"/>
      <protection hidden="1"/>
    </xf>
    <xf numFmtId="2" fontId="56" fillId="43" borderId="15" xfId="0" applyNumberFormat="1" applyFont="1" applyFill="1" applyBorder="1" applyAlignment="1" applyProtection="1">
      <alignment horizontal="center" vertical="center"/>
      <protection hidden="1"/>
    </xf>
    <xf numFmtId="2" fontId="56" fillId="44" borderId="5" xfId="0" applyNumberFormat="1" applyFont="1" applyFill="1" applyBorder="1" applyAlignment="1" applyProtection="1">
      <alignment horizontal="center" vertical="center"/>
      <protection hidden="1"/>
    </xf>
    <xf numFmtId="171" fontId="10" fillId="9" borderId="5" xfId="0" applyNumberFormat="1" applyFont="1" applyFill="1" applyBorder="1" applyAlignment="1" applyProtection="1">
      <alignment horizontal="center" vertical="center"/>
      <protection hidden="1"/>
    </xf>
    <xf numFmtId="0" fontId="57" fillId="3" borderId="7" xfId="0" applyFont="1" applyFill="1" applyBorder="1" applyAlignment="1" applyProtection="1">
      <alignment horizontal="center" vertical="center" wrapText="1"/>
      <protection hidden="1"/>
    </xf>
    <xf numFmtId="0" fontId="57" fillId="3" borderId="9" xfId="0" applyFont="1" applyFill="1" applyBorder="1" applyAlignment="1" applyProtection="1">
      <alignment horizontal="center" vertical="center" wrapText="1"/>
      <protection hidden="1"/>
    </xf>
    <xf numFmtId="174" fontId="64" fillId="6" borderId="30" xfId="0" applyNumberFormat="1" applyFont="1" applyFill="1" applyBorder="1" applyAlignment="1" applyProtection="1">
      <alignment horizontal="center" vertical="center" wrapText="1"/>
      <protection hidden="1"/>
    </xf>
    <xf numFmtId="167" fontId="64" fillId="6" borderId="87" xfId="0" applyNumberFormat="1" applyFont="1" applyFill="1" applyBorder="1" applyAlignment="1" applyProtection="1">
      <alignment horizontal="center" vertical="center"/>
      <protection hidden="1"/>
    </xf>
    <xf numFmtId="0" fontId="0" fillId="0" borderId="97" xfId="0" applyBorder="1" applyAlignment="1">
      <alignment horizontal="center" vertical="center"/>
    </xf>
    <xf numFmtId="0" fontId="46" fillId="0" borderId="0" xfId="0" applyFont="1" applyAlignment="1" applyProtection="1">
      <alignment horizontal="center"/>
      <protection hidden="1"/>
    </xf>
    <xf numFmtId="0" fontId="0" fillId="0" borderId="29" xfId="0" applyBorder="1" applyAlignment="1">
      <alignment horizontal="center" vertical="center"/>
    </xf>
    <xf numFmtId="0" fontId="0" fillId="0" borderId="5" xfId="0" applyBorder="1" applyAlignment="1">
      <alignment horizontal="center" vertical="center"/>
    </xf>
    <xf numFmtId="0" fontId="0" fillId="0" borderId="0" xfId="0" applyBorder="1"/>
    <xf numFmtId="0" fontId="76" fillId="0" borderId="0" xfId="0" applyFont="1" applyBorder="1"/>
    <xf numFmtId="0" fontId="43" fillId="0" borderId="0" xfId="0" applyFont="1" applyAlignment="1" applyProtection="1">
      <alignment horizontal="left" vertical="center"/>
      <protection hidden="1"/>
    </xf>
    <xf numFmtId="0" fontId="78" fillId="0" borderId="0" xfId="0" applyFont="1"/>
    <xf numFmtId="0" fontId="42" fillId="0" borderId="0" xfId="44" applyFont="1" applyBorder="1" applyAlignment="1" applyProtection="1">
      <alignment horizontal="left" vertical="center"/>
      <protection hidden="1"/>
    </xf>
    <xf numFmtId="0" fontId="56" fillId="0" borderId="7" xfId="0" applyFont="1" applyBorder="1" applyAlignment="1" applyProtection="1">
      <alignment horizontal="left" vertical="center" wrapText="1"/>
      <protection locked="0"/>
    </xf>
    <xf numFmtId="0" fontId="56" fillId="0" borderId="7" xfId="0" applyFont="1" applyBorder="1" applyAlignment="1" applyProtection="1">
      <alignment wrapText="1"/>
      <protection locked="0"/>
    </xf>
    <xf numFmtId="0" fontId="56" fillId="0" borderId="9" xfId="0" applyFont="1" applyBorder="1" applyAlignment="1" applyProtection="1">
      <alignment wrapText="1"/>
      <protection locked="0"/>
    </xf>
    <xf numFmtId="0" fontId="0" fillId="0" borderId="1" xfId="0" applyBorder="1"/>
    <xf numFmtId="0" fontId="0" fillId="0" borderId="36" xfId="0" applyBorder="1"/>
    <xf numFmtId="0" fontId="0" fillId="0" borderId="26" xfId="0" applyBorder="1" applyAlignment="1">
      <alignment horizontal="center" vertical="center"/>
    </xf>
    <xf numFmtId="0" fontId="0" fillId="0" borderId="37" xfId="0" applyBorder="1" applyAlignment="1">
      <alignment horizontal="center" vertical="center"/>
    </xf>
    <xf numFmtId="0" fontId="0" fillId="0" borderId="16" xfId="0" applyBorder="1" applyAlignment="1">
      <alignment horizontal="center" vertical="center"/>
    </xf>
    <xf numFmtId="0" fontId="0" fillId="0" borderId="38" xfId="0" applyBorder="1" applyAlignment="1">
      <alignment horizontal="center" vertical="center"/>
    </xf>
    <xf numFmtId="0" fontId="0" fillId="0" borderId="26" xfId="0" applyFill="1" applyBorder="1" applyAlignment="1">
      <alignment horizontal="center" vertical="center"/>
    </xf>
    <xf numFmtId="0" fontId="0" fillId="0" borderId="27" xfId="0" applyFill="1" applyBorder="1" applyAlignment="1">
      <alignment horizontal="center" vertical="center"/>
    </xf>
    <xf numFmtId="0" fontId="0" fillId="0" borderId="28" xfId="0" applyFill="1" applyBorder="1" applyAlignment="1">
      <alignment horizontal="center" vertical="center"/>
    </xf>
    <xf numFmtId="0" fontId="0" fillId="0" borderId="29" xfId="0" applyFill="1" applyBorder="1" applyAlignment="1">
      <alignment horizontal="center" vertical="center"/>
    </xf>
    <xf numFmtId="0" fontId="0" fillId="0" borderId="5" xfId="0" applyFill="1" applyBorder="1" applyAlignment="1">
      <alignment horizontal="center" vertical="center"/>
    </xf>
    <xf numFmtId="0" fontId="0" fillId="0" borderId="30" xfId="0" applyFill="1" applyBorder="1" applyAlignment="1">
      <alignment horizontal="center" vertical="center"/>
    </xf>
    <xf numFmtId="0" fontId="0" fillId="0" borderId="37" xfId="0" applyFill="1" applyBorder="1" applyAlignment="1">
      <alignment horizontal="center" vertical="center"/>
    </xf>
    <xf numFmtId="0" fontId="0" fillId="0" borderId="16" xfId="0" applyFill="1" applyBorder="1" applyAlignment="1">
      <alignment horizontal="center" vertical="center"/>
    </xf>
    <xf numFmtId="0" fontId="0" fillId="0" borderId="38" xfId="0" applyFill="1" applyBorder="1" applyAlignment="1">
      <alignment horizontal="center" vertical="center"/>
    </xf>
    <xf numFmtId="0" fontId="0" fillId="0" borderId="31" xfId="0" applyFill="1" applyBorder="1" applyAlignment="1">
      <alignment horizontal="center" vertical="center"/>
    </xf>
    <xf numFmtId="0" fontId="0" fillId="0" borderId="32" xfId="0" applyFill="1" applyBorder="1" applyAlignment="1">
      <alignment horizontal="center" vertical="center"/>
    </xf>
    <xf numFmtId="0" fontId="0" fillId="0" borderId="75" xfId="0" applyFill="1" applyBorder="1" applyAlignment="1">
      <alignment horizontal="center" vertical="center"/>
    </xf>
    <xf numFmtId="0" fontId="0" fillId="0" borderId="97" xfId="0" applyBorder="1" applyAlignment="1">
      <alignment horizontal="center" vertical="center"/>
    </xf>
    <xf numFmtId="0" fontId="0" fillId="0" borderId="96"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36" xfId="0" applyBorder="1" applyAlignment="1">
      <alignment horizontal="center" vertical="center"/>
    </xf>
    <xf numFmtId="0" fontId="0" fillId="0" borderId="45" xfId="0" applyBorder="1" applyAlignment="1">
      <alignment horizontal="center" vertical="center"/>
    </xf>
    <xf numFmtId="0" fontId="0" fillId="0" borderId="50" xfId="0" applyBorder="1" applyAlignment="1">
      <alignment horizontal="center" vertical="center"/>
    </xf>
    <xf numFmtId="0" fontId="0" fillId="0" borderId="73" xfId="0" applyBorder="1" applyAlignment="1">
      <alignment horizontal="center" vertical="center"/>
    </xf>
    <xf numFmtId="0" fontId="46" fillId="0" borderId="0" xfId="0" applyFont="1" applyAlignment="1" applyProtection="1">
      <alignment horizontal="center"/>
      <protection hidden="1"/>
    </xf>
    <xf numFmtId="0" fontId="35" fillId="0" borderId="0" xfId="0" applyFont="1" applyAlignment="1" applyProtection="1">
      <alignment horizontal="center" vertical="center"/>
      <protection hidden="1"/>
    </xf>
    <xf numFmtId="0" fontId="42" fillId="0" borderId="0" xfId="44" applyFont="1" applyBorder="1" applyAlignment="1" applyProtection="1">
      <alignment horizontal="left" vertical="center"/>
      <protection hidden="1"/>
    </xf>
    <xf numFmtId="0" fontId="1" fillId="0" borderId="0" xfId="0" applyFont="1" applyAlignment="1" applyProtection="1">
      <alignment horizontal="left" vertical="center" wrapText="1"/>
      <protection hidden="1"/>
    </xf>
    <xf numFmtId="0" fontId="40" fillId="45" borderId="64" xfId="0" applyFont="1" applyFill="1" applyBorder="1" applyAlignment="1" applyProtection="1">
      <alignment horizontal="center" vertical="center" textRotation="90" wrapText="1"/>
      <protection hidden="1"/>
    </xf>
    <xf numFmtId="0" fontId="40" fillId="45" borderId="30" xfId="0" applyFont="1" applyFill="1" applyBorder="1" applyAlignment="1" applyProtection="1">
      <alignment horizontal="center" vertical="center" textRotation="90" wrapText="1"/>
      <protection hidden="1"/>
    </xf>
    <xf numFmtId="0" fontId="3" fillId="6" borderId="1" xfId="0" applyFont="1" applyFill="1" applyBorder="1" applyAlignment="1" applyProtection="1">
      <alignment horizontal="center" vertical="center" wrapText="1"/>
      <protection hidden="1"/>
    </xf>
    <xf numFmtId="0" fontId="3" fillId="6" borderId="71" xfId="0" applyFont="1" applyFill="1" applyBorder="1" applyAlignment="1" applyProtection="1">
      <alignment horizontal="center" vertical="center" wrapText="1"/>
      <protection hidden="1"/>
    </xf>
    <xf numFmtId="0" fontId="3" fillId="6" borderId="65" xfId="0" applyFont="1" applyFill="1" applyBorder="1" applyAlignment="1" applyProtection="1">
      <alignment horizontal="center" vertical="center" wrapText="1"/>
      <protection hidden="1"/>
    </xf>
    <xf numFmtId="0" fontId="3" fillId="6" borderId="64" xfId="0" applyFont="1" applyFill="1" applyBorder="1" applyAlignment="1" applyProtection="1">
      <alignment horizontal="center" vertical="center" wrapText="1"/>
      <protection hidden="1"/>
    </xf>
    <xf numFmtId="0" fontId="3" fillId="3" borderId="6" xfId="0" applyFont="1" applyFill="1" applyBorder="1" applyAlignment="1" applyProtection="1">
      <alignment horizontal="center" vertical="center" wrapText="1"/>
      <protection hidden="1"/>
    </xf>
    <xf numFmtId="0" fontId="3" fillId="3" borderId="7" xfId="0" applyFont="1" applyFill="1" applyBorder="1" applyAlignment="1" applyProtection="1">
      <alignment horizontal="center" vertical="center" wrapText="1"/>
      <protection hidden="1"/>
    </xf>
    <xf numFmtId="0" fontId="40" fillId="44" borderId="1" xfId="0" applyFont="1" applyFill="1" applyBorder="1" applyAlignment="1" applyProtection="1">
      <alignment horizontal="center" vertical="center" textRotation="90" wrapText="1"/>
      <protection hidden="1"/>
    </xf>
    <xf numFmtId="0" fontId="40" fillId="44" borderId="71" xfId="0" applyFont="1" applyFill="1" applyBorder="1" applyAlignment="1" applyProtection="1">
      <alignment horizontal="center" vertical="center" textRotation="90" wrapText="1"/>
      <protection hidden="1"/>
    </xf>
    <xf numFmtId="0" fontId="40" fillId="44" borderId="5" xfId="0" applyFont="1" applyFill="1" applyBorder="1" applyAlignment="1" applyProtection="1">
      <alignment horizontal="center" vertical="center" textRotation="90" wrapText="1"/>
      <protection hidden="1"/>
    </xf>
    <xf numFmtId="0" fontId="15" fillId="0" borderId="86" xfId="0" applyFont="1" applyBorder="1" applyAlignment="1" applyProtection="1">
      <alignment horizontal="center" vertical="center"/>
      <protection hidden="1"/>
    </xf>
    <xf numFmtId="0" fontId="40" fillId="45" borderId="4" xfId="0" applyFont="1" applyFill="1" applyBorder="1" applyAlignment="1" applyProtection="1">
      <alignment horizontal="center" vertical="center" textRotation="90" wrapText="1"/>
      <protection hidden="1"/>
    </xf>
    <xf numFmtId="0" fontId="40" fillId="45" borderId="5" xfId="0" applyFont="1" applyFill="1" applyBorder="1" applyAlignment="1" applyProtection="1">
      <alignment horizontal="center" vertical="center" textRotation="90" wrapText="1"/>
      <protection hidden="1"/>
    </xf>
    <xf numFmtId="0" fontId="65" fillId="6" borderId="68" xfId="0" applyFont="1" applyFill="1" applyBorder="1" applyAlignment="1" applyProtection="1">
      <alignment horizontal="right" vertical="center"/>
      <protection hidden="1"/>
    </xf>
    <xf numFmtId="0" fontId="65" fillId="6" borderId="69" xfId="0" applyFont="1" applyFill="1" applyBorder="1" applyAlignment="1" applyProtection="1">
      <alignment horizontal="right" vertical="center"/>
      <protection hidden="1"/>
    </xf>
    <xf numFmtId="0" fontId="65" fillId="6" borderId="98" xfId="0" applyFont="1" applyFill="1" applyBorder="1" applyAlignment="1" applyProtection="1">
      <alignment horizontal="right" vertical="center"/>
      <protection hidden="1"/>
    </xf>
    <xf numFmtId="0" fontId="67" fillId="52" borderId="97" xfId="0" applyFont="1" applyFill="1" applyBorder="1" applyAlignment="1" applyProtection="1">
      <alignment horizontal="center" vertical="center" wrapText="1"/>
      <protection hidden="1"/>
    </xf>
    <xf numFmtId="0" fontId="67" fillId="52" borderId="73" xfId="0" applyFont="1" applyFill="1" applyBorder="1" applyAlignment="1" applyProtection="1">
      <alignment horizontal="center" vertical="center" wrapText="1"/>
      <protection hidden="1"/>
    </xf>
    <xf numFmtId="0" fontId="3" fillId="3" borderId="2" xfId="0" applyFont="1" applyFill="1" applyBorder="1" applyAlignment="1" applyProtection="1">
      <alignment horizontal="center" vertical="center"/>
      <protection hidden="1"/>
    </xf>
    <xf numFmtId="0" fontId="3" fillId="3" borderId="0" xfId="0" applyFont="1" applyFill="1" applyAlignment="1" applyProtection="1">
      <alignment horizontal="center" vertical="center"/>
      <protection hidden="1"/>
    </xf>
    <xf numFmtId="0" fontId="3" fillId="3" borderId="45" xfId="0" applyFont="1" applyFill="1" applyBorder="1" applyAlignment="1" applyProtection="1">
      <alignment horizontal="center" vertical="center"/>
      <protection hidden="1"/>
    </xf>
    <xf numFmtId="0" fontId="66" fillId="0" borderId="85" xfId="0" applyFont="1" applyBorder="1" applyAlignment="1" applyProtection="1">
      <alignment horizontal="right" vertical="center"/>
      <protection hidden="1"/>
    </xf>
    <xf numFmtId="0" fontId="66" fillId="0" borderId="86" xfId="0" applyFont="1" applyBorder="1" applyAlignment="1" applyProtection="1">
      <alignment horizontal="right" vertical="center"/>
      <protection hidden="1"/>
    </xf>
    <xf numFmtId="0" fontId="1" fillId="0" borderId="17" xfId="0" applyFont="1" applyBorder="1" applyAlignment="1" applyProtection="1">
      <alignment horizontal="center"/>
      <protection hidden="1"/>
    </xf>
    <xf numFmtId="0" fontId="1" fillId="0" borderId="13" xfId="0" applyFont="1" applyBorder="1" applyAlignment="1" applyProtection="1">
      <alignment horizontal="center"/>
      <protection hidden="1"/>
    </xf>
    <xf numFmtId="0" fontId="40" fillId="44" borderId="66" xfId="0" applyFont="1" applyFill="1" applyBorder="1" applyAlignment="1" applyProtection="1">
      <alignment horizontal="center" vertical="center" textRotation="90" wrapText="1"/>
      <protection hidden="1"/>
    </xf>
    <xf numFmtId="0" fontId="40" fillId="44" borderId="29" xfId="0" applyFont="1" applyFill="1" applyBorder="1" applyAlignment="1" applyProtection="1">
      <alignment horizontal="center" vertical="center" textRotation="90" wrapText="1"/>
      <protection hidden="1"/>
    </xf>
    <xf numFmtId="0" fontId="40" fillId="44" borderId="64" xfId="0" applyFont="1" applyFill="1" applyBorder="1" applyAlignment="1" applyProtection="1">
      <alignment horizontal="center" vertical="center" textRotation="90" wrapText="1"/>
      <protection hidden="1"/>
    </xf>
    <xf numFmtId="0" fontId="40" fillId="44" borderId="30" xfId="0" applyFont="1" applyFill="1" applyBorder="1" applyAlignment="1" applyProtection="1">
      <alignment horizontal="center" vertical="center" textRotation="90" wrapText="1"/>
      <protection hidden="1"/>
    </xf>
    <xf numFmtId="0" fontId="40" fillId="43" borderId="24" xfId="0" applyFont="1" applyFill="1" applyBorder="1" applyAlignment="1" applyProtection="1">
      <alignment horizontal="center" vertical="center" textRotation="90" wrapText="1"/>
      <protection hidden="1"/>
    </xf>
    <xf numFmtId="0" fontId="40" fillId="43" borderId="15" xfId="0" applyFont="1" applyFill="1" applyBorder="1" applyAlignment="1" applyProtection="1">
      <alignment horizontal="center" vertical="center" textRotation="90" wrapText="1"/>
      <protection hidden="1"/>
    </xf>
    <xf numFmtId="0" fontId="40" fillId="45" borderId="66" xfId="0" applyFont="1" applyFill="1" applyBorder="1" applyAlignment="1" applyProtection="1">
      <alignment horizontal="center" vertical="center" textRotation="90" wrapText="1"/>
      <protection hidden="1"/>
    </xf>
    <xf numFmtId="0" fontId="40" fillId="45" borderId="29" xfId="0" applyFont="1" applyFill="1" applyBorder="1" applyAlignment="1" applyProtection="1">
      <alignment horizontal="center" vertical="center" textRotation="90" wrapText="1"/>
      <protection hidden="1"/>
    </xf>
    <xf numFmtId="0" fontId="40" fillId="43" borderId="64" xfId="0" applyFont="1" applyFill="1" applyBorder="1" applyAlignment="1" applyProtection="1">
      <alignment horizontal="center" vertical="center" textRotation="90" wrapText="1"/>
      <protection hidden="1"/>
    </xf>
    <xf numFmtId="0" fontId="40" fillId="43" borderId="30" xfId="0" applyFont="1" applyFill="1" applyBorder="1" applyAlignment="1" applyProtection="1">
      <alignment horizontal="center" vertical="center" textRotation="90" wrapText="1"/>
      <protection hidden="1"/>
    </xf>
    <xf numFmtId="0" fontId="62" fillId="0" borderId="97" xfId="0" applyFont="1" applyBorder="1" applyAlignment="1" applyProtection="1">
      <alignment horizontal="center" vertical="center" wrapText="1"/>
      <protection hidden="1"/>
    </xf>
    <xf numFmtId="0" fontId="62" fillId="0" borderId="73" xfId="0" applyFont="1" applyBorder="1" applyAlignment="1" applyProtection="1">
      <alignment horizontal="center" vertical="center" wrapText="1"/>
      <protection hidden="1"/>
    </xf>
    <xf numFmtId="0" fontId="62" fillId="0" borderId="96" xfId="0" applyFont="1" applyBorder="1" applyAlignment="1" applyProtection="1">
      <alignment horizontal="center" vertical="center" wrapText="1"/>
      <protection hidden="1"/>
    </xf>
    <xf numFmtId="0" fontId="55" fillId="3" borderId="14" xfId="0" applyFont="1" applyFill="1" applyBorder="1" applyAlignment="1" applyProtection="1">
      <alignment horizontal="center" vertical="center" wrapText="1"/>
      <protection hidden="1"/>
    </xf>
    <xf numFmtId="0" fontId="55" fillId="3" borderId="12" xfId="0" applyFont="1" applyFill="1" applyBorder="1" applyAlignment="1" applyProtection="1">
      <alignment horizontal="center" vertical="center" wrapText="1"/>
      <protection hidden="1"/>
    </xf>
    <xf numFmtId="0" fontId="55" fillId="3" borderId="35" xfId="0" applyFont="1" applyFill="1" applyBorder="1" applyAlignment="1" applyProtection="1">
      <alignment horizontal="center" vertical="center" wrapText="1"/>
      <protection hidden="1"/>
    </xf>
    <xf numFmtId="0" fontId="54" fillId="43" borderId="27" xfId="0" applyFont="1" applyFill="1" applyBorder="1" applyAlignment="1" applyProtection="1">
      <alignment horizontal="center" textRotation="90" wrapText="1"/>
      <protection hidden="1"/>
    </xf>
    <xf numFmtId="0" fontId="54" fillId="43" borderId="5" xfId="0" applyFont="1" applyFill="1" applyBorder="1" applyAlignment="1" applyProtection="1">
      <alignment horizontal="center" textRotation="90" wrapText="1"/>
      <protection hidden="1"/>
    </xf>
    <xf numFmtId="0" fontId="54" fillId="43" borderId="32" xfId="0" applyFont="1" applyFill="1" applyBorder="1" applyAlignment="1" applyProtection="1">
      <alignment horizontal="center" textRotation="90" wrapText="1"/>
      <protection hidden="1"/>
    </xf>
    <xf numFmtId="0" fontId="55" fillId="3" borderId="65" xfId="0" applyFont="1" applyFill="1" applyBorder="1" applyAlignment="1" applyProtection="1">
      <alignment horizontal="center" vertical="center" wrapText="1"/>
      <protection hidden="1"/>
    </xf>
    <xf numFmtId="0" fontId="55" fillId="3" borderId="63" xfId="0" applyFont="1" applyFill="1" applyBorder="1" applyAlignment="1" applyProtection="1">
      <alignment horizontal="center" vertical="center" wrapText="1"/>
      <protection hidden="1"/>
    </xf>
    <xf numFmtId="0" fontId="55" fillId="3" borderId="60" xfId="0" applyFont="1" applyFill="1" applyBorder="1" applyAlignment="1" applyProtection="1">
      <alignment horizontal="center" vertical="center" wrapText="1"/>
      <protection hidden="1"/>
    </xf>
    <xf numFmtId="0" fontId="54" fillId="45" borderId="27" xfId="0" applyFont="1" applyFill="1" applyBorder="1" applyAlignment="1" applyProtection="1">
      <alignment horizontal="center" textRotation="90" wrapText="1"/>
      <protection hidden="1"/>
    </xf>
    <xf numFmtId="0" fontId="54" fillId="45" borderId="5" xfId="0" applyFont="1" applyFill="1" applyBorder="1" applyAlignment="1" applyProtection="1">
      <alignment horizontal="center" textRotation="90" wrapText="1"/>
      <protection hidden="1"/>
    </xf>
    <xf numFmtId="0" fontId="54" fillId="45" borderId="32" xfId="0" applyFont="1" applyFill="1" applyBorder="1" applyAlignment="1" applyProtection="1">
      <alignment horizontal="center" textRotation="90" wrapText="1"/>
      <protection hidden="1"/>
    </xf>
    <xf numFmtId="0" fontId="54" fillId="45" borderId="65" xfId="0" applyFont="1" applyFill="1" applyBorder="1" applyAlignment="1" applyProtection="1">
      <alignment horizontal="center" vertical="center" wrapText="1"/>
      <protection hidden="1"/>
    </xf>
    <xf numFmtId="0" fontId="54" fillId="45" borderId="63" xfId="0" applyFont="1" applyFill="1" applyBorder="1" applyAlignment="1" applyProtection="1">
      <alignment horizontal="center" vertical="center" wrapText="1"/>
      <protection hidden="1"/>
    </xf>
    <xf numFmtId="0" fontId="54" fillId="45" borderId="60" xfId="0" applyFont="1" applyFill="1" applyBorder="1" applyAlignment="1" applyProtection="1">
      <alignment horizontal="center" vertical="center" wrapText="1"/>
      <protection hidden="1"/>
    </xf>
    <xf numFmtId="0" fontId="64" fillId="6" borderId="6" xfId="0" applyFont="1" applyFill="1" applyBorder="1" applyAlignment="1" applyProtection="1">
      <alignment horizontal="center" vertical="center" wrapText="1"/>
      <protection hidden="1"/>
    </xf>
    <xf numFmtId="0" fontId="64" fillId="6" borderId="7" xfId="0" applyFont="1" applyFill="1" applyBorder="1" applyAlignment="1" applyProtection="1">
      <alignment horizontal="center" vertical="center" wrapText="1"/>
      <protection hidden="1"/>
    </xf>
    <xf numFmtId="0" fontId="64" fillId="6" borderId="9" xfId="0" applyFont="1" applyFill="1" applyBorder="1" applyAlignment="1" applyProtection="1">
      <alignment horizontal="center" vertical="center" wrapText="1"/>
      <protection hidden="1"/>
    </xf>
    <xf numFmtId="0" fontId="54" fillId="44" borderId="103" xfId="0" applyFont="1" applyFill="1" applyBorder="1" applyAlignment="1" applyProtection="1">
      <alignment horizontal="center" textRotation="90" wrapText="1"/>
      <protection hidden="1"/>
    </xf>
    <xf numFmtId="0" fontId="54" fillId="44" borderId="14" xfId="0" applyFont="1" applyFill="1" applyBorder="1" applyAlignment="1" applyProtection="1">
      <alignment horizontal="center" textRotation="90" wrapText="1"/>
      <protection hidden="1"/>
    </xf>
    <xf numFmtId="0" fontId="54" fillId="44" borderId="104" xfId="0" applyFont="1" applyFill="1" applyBorder="1" applyAlignment="1" applyProtection="1">
      <alignment horizontal="center" textRotation="90" wrapText="1"/>
      <protection hidden="1"/>
    </xf>
    <xf numFmtId="0" fontId="54" fillId="45" borderId="99" xfId="0" applyFont="1" applyFill="1" applyBorder="1" applyAlignment="1" applyProtection="1">
      <alignment horizontal="center" textRotation="90" wrapText="1"/>
      <protection hidden="1"/>
    </xf>
    <xf numFmtId="0" fontId="54" fillId="45" borderId="15" xfId="0" applyFont="1" applyFill="1" applyBorder="1" applyAlignment="1" applyProtection="1">
      <alignment horizontal="center" textRotation="90" wrapText="1"/>
      <protection hidden="1"/>
    </xf>
    <xf numFmtId="0" fontId="54" fillId="45" borderId="95" xfId="0" applyFont="1" applyFill="1" applyBorder="1" applyAlignment="1" applyProtection="1">
      <alignment horizontal="center" textRotation="90" wrapText="1"/>
      <protection hidden="1"/>
    </xf>
    <xf numFmtId="0" fontId="54" fillId="44" borderId="26" xfId="0" applyFont="1" applyFill="1" applyBorder="1" applyAlignment="1" applyProtection="1">
      <alignment horizontal="center" textRotation="90" wrapText="1"/>
      <protection hidden="1"/>
    </xf>
    <xf numFmtId="0" fontId="54" fillId="44" borderId="29" xfId="0" applyFont="1" applyFill="1" applyBorder="1" applyAlignment="1" applyProtection="1">
      <alignment horizontal="center" textRotation="90" wrapText="1"/>
      <protection hidden="1"/>
    </xf>
    <xf numFmtId="0" fontId="54" fillId="44" borderId="31" xfId="0" applyFont="1" applyFill="1" applyBorder="1" applyAlignment="1" applyProtection="1">
      <alignment horizontal="center" textRotation="90" wrapText="1"/>
      <protection hidden="1"/>
    </xf>
    <xf numFmtId="0" fontId="54" fillId="43" borderId="28" xfId="0" applyFont="1" applyFill="1" applyBorder="1" applyAlignment="1" applyProtection="1">
      <alignment horizontal="center" textRotation="90" wrapText="1"/>
      <protection hidden="1"/>
    </xf>
    <xf numFmtId="0" fontId="54" fillId="43" borderId="30" xfId="0" applyFont="1" applyFill="1" applyBorder="1" applyAlignment="1" applyProtection="1">
      <alignment horizontal="center" textRotation="90" wrapText="1"/>
      <protection hidden="1"/>
    </xf>
    <xf numFmtId="0" fontId="54" fillId="43" borderId="75" xfId="0" applyFont="1" applyFill="1" applyBorder="1" applyAlignment="1" applyProtection="1">
      <alignment horizontal="center" textRotation="90" wrapText="1"/>
      <protection hidden="1"/>
    </xf>
    <xf numFmtId="0" fontId="54" fillId="47" borderId="100" xfId="0" applyFont="1" applyFill="1" applyBorder="1" applyAlignment="1" applyProtection="1">
      <alignment horizontal="center" textRotation="90" wrapText="1"/>
      <protection hidden="1"/>
    </xf>
    <xf numFmtId="0" fontId="54" fillId="47" borderId="67" xfId="0" applyFont="1" applyFill="1" applyBorder="1" applyAlignment="1" applyProtection="1">
      <alignment horizontal="center" textRotation="90" wrapText="1"/>
      <protection hidden="1"/>
    </xf>
    <xf numFmtId="0" fontId="54" fillId="47" borderId="61" xfId="0" applyFont="1" applyFill="1" applyBorder="1" applyAlignment="1" applyProtection="1">
      <alignment horizontal="center" textRotation="90" wrapText="1"/>
      <protection hidden="1"/>
    </xf>
    <xf numFmtId="0" fontId="55" fillId="46" borderId="73" xfId="0" applyFont="1" applyFill="1" applyBorder="1" applyAlignment="1" applyProtection="1">
      <alignment horizontal="center" vertical="center" wrapText="1"/>
      <protection hidden="1"/>
    </xf>
    <xf numFmtId="0" fontId="55" fillId="46" borderId="96" xfId="0" applyFont="1" applyFill="1" applyBorder="1" applyAlignment="1" applyProtection="1">
      <alignment horizontal="center" vertical="center" wrapText="1"/>
      <protection hidden="1"/>
    </xf>
    <xf numFmtId="0" fontId="3" fillId="0" borderId="85" xfId="0" applyFont="1" applyBorder="1" applyAlignment="1" applyProtection="1">
      <alignment horizontal="center" vertical="center"/>
      <protection hidden="1"/>
    </xf>
    <xf numFmtId="0" fontId="3" fillId="0" borderId="86" xfId="0" applyFont="1" applyBorder="1" applyAlignment="1" applyProtection="1">
      <alignment horizontal="center" vertical="center"/>
      <protection hidden="1"/>
    </xf>
    <xf numFmtId="0" fontId="3" fillId="0" borderId="86" xfId="0" applyFont="1" applyBorder="1" applyAlignment="1" applyProtection="1">
      <alignment horizontal="right" vertical="center"/>
      <protection hidden="1"/>
    </xf>
    <xf numFmtId="0" fontId="40" fillId="0" borderId="86" xfId="0" applyFont="1" applyBorder="1" applyAlignment="1" applyProtection="1">
      <alignment vertical="center"/>
      <protection hidden="1"/>
    </xf>
    <xf numFmtId="14" fontId="40" fillId="0" borderId="86" xfId="0" applyNumberFormat="1" applyFont="1" applyBorder="1" applyAlignment="1" applyProtection="1">
      <alignment horizontal="left" vertical="center"/>
      <protection hidden="1"/>
    </xf>
    <xf numFmtId="0" fontId="15" fillId="0" borderId="0" xfId="0" applyFont="1" applyAlignment="1" applyProtection="1">
      <alignment horizontal="center"/>
      <protection hidden="1"/>
    </xf>
    <xf numFmtId="0" fontId="55" fillId="3" borderId="38" xfId="0" applyFont="1" applyFill="1" applyBorder="1" applyAlignment="1" applyProtection="1">
      <alignment horizontal="center" vertical="center" wrapText="1"/>
      <protection hidden="1"/>
    </xf>
    <xf numFmtId="0" fontId="65" fillId="6" borderId="3" xfId="0" applyFont="1" applyFill="1" applyBorder="1" applyAlignment="1" applyProtection="1">
      <alignment horizontal="right" vertical="center"/>
      <protection hidden="1"/>
    </xf>
    <xf numFmtId="0" fontId="65" fillId="6" borderId="40" xfId="0" applyFont="1" applyFill="1" applyBorder="1" applyAlignment="1" applyProtection="1">
      <alignment horizontal="right" vertical="center"/>
      <protection hidden="1"/>
    </xf>
    <xf numFmtId="0" fontId="65" fillId="6" borderId="50" xfId="0" applyFont="1" applyFill="1" applyBorder="1" applyAlignment="1" applyProtection="1">
      <alignment horizontal="right" vertical="center"/>
      <protection hidden="1"/>
    </xf>
    <xf numFmtId="0" fontId="61" fillId="3" borderId="73" xfId="0" applyFont="1" applyFill="1" applyBorder="1" applyAlignment="1" applyProtection="1">
      <alignment horizontal="center" vertical="center" wrapText="1"/>
      <protection hidden="1"/>
    </xf>
    <xf numFmtId="0" fontId="61" fillId="3" borderId="96" xfId="0" applyFont="1" applyFill="1" applyBorder="1" applyAlignment="1" applyProtection="1">
      <alignment horizontal="center" vertical="center" wrapText="1"/>
      <protection hidden="1"/>
    </xf>
    <xf numFmtId="0" fontId="55" fillId="3" borderId="37" xfId="0" applyFont="1" applyFill="1" applyBorder="1" applyAlignment="1" applyProtection="1">
      <alignment horizontal="center" vertical="center" wrapText="1"/>
      <protection hidden="1"/>
    </xf>
    <xf numFmtId="0" fontId="55" fillId="3" borderId="61" xfId="0" applyFont="1" applyFill="1" applyBorder="1" applyAlignment="1" applyProtection="1">
      <alignment horizontal="center" vertical="center" wrapText="1"/>
      <protection hidden="1"/>
    </xf>
    <xf numFmtId="0" fontId="55" fillId="3" borderId="16" xfId="0" applyFont="1" applyFill="1" applyBorder="1" applyAlignment="1" applyProtection="1">
      <alignment horizontal="center" vertical="center" wrapText="1"/>
      <protection hidden="1"/>
    </xf>
    <xf numFmtId="0" fontId="55" fillId="3" borderId="62" xfId="0" applyFont="1" applyFill="1" applyBorder="1" applyAlignment="1" applyProtection="1">
      <alignment horizontal="center" vertical="center" wrapText="1"/>
      <protection hidden="1"/>
    </xf>
    <xf numFmtId="0" fontId="55" fillId="3" borderId="71" xfId="0" applyFont="1" applyFill="1" applyBorder="1" applyAlignment="1" applyProtection="1">
      <alignment horizontal="center" vertical="center" wrapText="1"/>
      <protection hidden="1"/>
    </xf>
    <xf numFmtId="0" fontId="55" fillId="3" borderId="23" xfId="0" applyFont="1" applyFill="1" applyBorder="1" applyAlignment="1" applyProtection="1">
      <alignment horizontal="center" vertical="center" wrapText="1"/>
      <protection hidden="1"/>
    </xf>
    <xf numFmtId="0" fontId="55" fillId="3" borderId="72" xfId="0" applyFont="1" applyFill="1" applyBorder="1" applyAlignment="1" applyProtection="1">
      <alignment horizontal="center" vertical="center" wrapText="1"/>
      <protection hidden="1"/>
    </xf>
    <xf numFmtId="0" fontId="1" fillId="0" borderId="0" xfId="0" applyFont="1" applyAlignment="1" applyProtection="1">
      <alignment horizontal="left" vertical="center"/>
      <protection hidden="1"/>
    </xf>
    <xf numFmtId="0" fontId="12" fillId="0" borderId="0" xfId="0" applyFont="1" applyAlignment="1" applyProtection="1">
      <alignment horizontal="center" vertical="center" wrapText="1"/>
      <protection hidden="1"/>
    </xf>
    <xf numFmtId="0" fontId="54" fillId="45" borderId="101" xfId="0" applyFont="1" applyFill="1" applyBorder="1" applyAlignment="1" applyProtection="1">
      <alignment horizontal="center" textRotation="90" wrapText="1"/>
      <protection hidden="1"/>
    </xf>
    <xf numFmtId="0" fontId="54" fillId="45" borderId="18" xfId="0" applyFont="1" applyFill="1" applyBorder="1" applyAlignment="1" applyProtection="1">
      <alignment horizontal="center" textRotation="90" wrapText="1"/>
      <protection hidden="1"/>
    </xf>
    <xf numFmtId="0" fontId="54" fillId="45" borderId="62" xfId="0" applyFont="1" applyFill="1" applyBorder="1" applyAlignment="1" applyProtection="1">
      <alignment horizontal="center" textRotation="90" wrapText="1"/>
      <protection hidden="1"/>
    </xf>
    <xf numFmtId="0" fontId="64" fillId="6" borderId="71" xfId="0" applyFont="1" applyFill="1" applyBorder="1" applyAlignment="1" applyProtection="1">
      <alignment horizontal="center" vertical="center" wrapText="1"/>
      <protection hidden="1"/>
    </xf>
    <xf numFmtId="0" fontId="64" fillId="6" borderId="93" xfId="0" applyFont="1" applyFill="1" applyBorder="1" applyAlignment="1" applyProtection="1">
      <alignment horizontal="center" vertical="center" wrapText="1"/>
      <protection hidden="1"/>
    </xf>
    <xf numFmtId="0" fontId="64" fillId="6" borderId="8" xfId="0" applyFont="1" applyFill="1" applyBorder="1" applyAlignment="1" applyProtection="1">
      <alignment horizontal="center" vertical="center" wrapText="1"/>
      <protection hidden="1"/>
    </xf>
    <xf numFmtId="0" fontId="54" fillId="43" borderId="99" xfId="0" applyFont="1" applyFill="1" applyBorder="1" applyAlignment="1" applyProtection="1">
      <alignment horizontal="center" textRotation="90" wrapText="1"/>
      <protection hidden="1"/>
    </xf>
    <xf numFmtId="0" fontId="54" fillId="43" borderId="15" xfId="0" applyFont="1" applyFill="1" applyBorder="1" applyAlignment="1" applyProtection="1">
      <alignment horizontal="center" textRotation="90" wrapText="1"/>
      <protection hidden="1"/>
    </xf>
    <xf numFmtId="0" fontId="54" fillId="43" borderId="95" xfId="0" applyFont="1" applyFill="1" applyBorder="1" applyAlignment="1" applyProtection="1">
      <alignment horizontal="center" textRotation="90" wrapText="1"/>
      <protection hidden="1"/>
    </xf>
    <xf numFmtId="0" fontId="54" fillId="44" borderId="27" xfId="0" applyFont="1" applyFill="1" applyBorder="1" applyAlignment="1" applyProtection="1">
      <alignment horizontal="center" textRotation="90" wrapText="1"/>
      <protection hidden="1"/>
    </xf>
    <xf numFmtId="0" fontId="54" fillId="44" borderId="5" xfId="0" applyFont="1" applyFill="1" applyBorder="1" applyAlignment="1" applyProtection="1">
      <alignment horizontal="center" textRotation="90" wrapText="1"/>
      <protection hidden="1"/>
    </xf>
    <xf numFmtId="0" fontId="54" fillId="44" borderId="32" xfId="0" applyFont="1" applyFill="1" applyBorder="1" applyAlignment="1" applyProtection="1">
      <alignment horizontal="center" textRotation="90" wrapText="1"/>
      <protection hidden="1"/>
    </xf>
    <xf numFmtId="0" fontId="54" fillId="44" borderId="101" xfId="0" applyFont="1" applyFill="1" applyBorder="1" applyAlignment="1" applyProtection="1">
      <alignment horizontal="center" textRotation="90" wrapText="1"/>
      <protection hidden="1"/>
    </xf>
    <xf numFmtId="0" fontId="54" fillId="44" borderId="18" xfId="0" applyFont="1" applyFill="1" applyBorder="1" applyAlignment="1" applyProtection="1">
      <alignment horizontal="center" textRotation="90" wrapText="1"/>
      <protection hidden="1"/>
    </xf>
    <xf numFmtId="0" fontId="54" fillId="44" borderId="62" xfId="0" applyFont="1" applyFill="1" applyBorder="1" applyAlignment="1" applyProtection="1">
      <alignment horizontal="center" textRotation="90" wrapText="1"/>
      <protection hidden="1"/>
    </xf>
    <xf numFmtId="0" fontId="2" fillId="0" borderId="0" xfId="0" applyFont="1" applyAlignment="1" applyProtection="1">
      <alignment horizontal="left" vertical="center" wrapText="1"/>
      <protection hidden="1"/>
    </xf>
    <xf numFmtId="49" fontId="2" fillId="0" borderId="0" xfId="0" applyNumberFormat="1" applyFont="1" applyAlignment="1">
      <alignment horizontal="left"/>
    </xf>
    <xf numFmtId="0" fontId="17" fillId="8" borderId="0" xfId="0" applyFont="1" applyFill="1" applyAlignment="1">
      <alignment horizontal="center"/>
    </xf>
    <xf numFmtId="0" fontId="0" fillId="41" borderId="17" xfId="0" applyFill="1" applyBorder="1" applyAlignment="1" applyProtection="1">
      <alignment horizontal="center"/>
      <protection locked="0"/>
    </xf>
    <xf numFmtId="0" fontId="0" fillId="41" borderId="0" xfId="0" applyFill="1" applyAlignment="1" applyProtection="1">
      <alignment horizontal="center"/>
      <protection locked="0"/>
    </xf>
    <xf numFmtId="0" fontId="0" fillId="41" borderId="22" xfId="0" applyFill="1" applyBorder="1" applyAlignment="1" applyProtection="1">
      <alignment horizontal="center"/>
      <protection locked="0"/>
    </xf>
    <xf numFmtId="0" fontId="2" fillId="0" borderId="0" xfId="0" applyFont="1" applyAlignment="1">
      <alignment horizontal="center" vertical="center" textRotation="90"/>
    </xf>
    <xf numFmtId="0" fontId="0" fillId="41" borderId="70" xfId="0" applyFill="1" applyBorder="1" applyAlignment="1" applyProtection="1">
      <alignment horizontal="left" vertical="center"/>
      <protection locked="0"/>
    </xf>
    <xf numFmtId="0" fontId="0" fillId="41" borderId="45" xfId="0" applyFill="1" applyBorder="1" applyAlignment="1" applyProtection="1">
      <alignment horizontal="left" vertical="center"/>
      <protection locked="0"/>
    </xf>
    <xf numFmtId="0" fontId="0" fillId="41" borderId="47" xfId="0" applyFill="1" applyBorder="1" applyAlignment="1" applyProtection="1">
      <alignment horizontal="left" vertical="center"/>
      <protection locked="0"/>
    </xf>
    <xf numFmtId="0" fontId="0" fillId="41" borderId="20" xfId="0" applyFill="1" applyBorder="1" applyAlignment="1" applyProtection="1">
      <alignment horizontal="left" vertical="center" textRotation="90"/>
      <protection locked="0"/>
    </xf>
    <xf numFmtId="0" fontId="0" fillId="41" borderId="0" xfId="0" applyFill="1" applyAlignment="1" applyProtection="1">
      <alignment horizontal="left" vertical="center" textRotation="90"/>
      <protection locked="0"/>
    </xf>
    <xf numFmtId="0" fontId="0" fillId="41" borderId="23" xfId="0" applyFill="1" applyBorder="1" applyAlignment="1" applyProtection="1">
      <alignment horizontal="left" vertical="center" textRotation="90"/>
      <protection locked="0"/>
    </xf>
    <xf numFmtId="0" fontId="0" fillId="41" borderId="88" xfId="0" applyFill="1" applyBorder="1" applyAlignment="1" applyProtection="1">
      <alignment horizontal="center" vertical="center"/>
      <protection locked="0"/>
    </xf>
    <xf numFmtId="0" fontId="0" fillId="41" borderId="2" xfId="0" applyFill="1" applyBorder="1" applyAlignment="1" applyProtection="1">
      <alignment horizontal="center" vertical="center"/>
      <protection locked="0"/>
    </xf>
    <xf numFmtId="0" fontId="0" fillId="41" borderId="48" xfId="0" applyFill="1" applyBorder="1" applyAlignment="1" applyProtection="1">
      <alignment horizontal="center" vertical="center"/>
      <protection locked="0"/>
    </xf>
    <xf numFmtId="0" fontId="0" fillId="41" borderId="52" xfId="0" applyFill="1" applyBorder="1" applyAlignment="1" applyProtection="1">
      <alignment horizontal="left" vertical="center"/>
      <protection locked="0"/>
    </xf>
    <xf numFmtId="0" fontId="0" fillId="41" borderId="74" xfId="0" applyFill="1" applyBorder="1" applyAlignment="1" applyProtection="1">
      <alignment horizontal="center" vertical="center"/>
      <protection locked="0"/>
    </xf>
    <xf numFmtId="0" fontId="16" fillId="7" borderId="0" xfId="0" applyFont="1" applyFill="1" applyAlignment="1">
      <alignment horizontal="left"/>
    </xf>
    <xf numFmtId="0" fontId="16" fillId="7" borderId="0" xfId="0" applyFont="1" applyFill="1" applyAlignment="1">
      <alignment horizontal="center"/>
    </xf>
    <xf numFmtId="0" fontId="0" fillId="0" borderId="2" xfId="0" applyBorder="1" applyAlignment="1">
      <alignment horizontal="center" vertical="center" textRotation="90"/>
    </xf>
    <xf numFmtId="0" fontId="0" fillId="0" borderId="45" xfId="0" applyBorder="1" applyAlignment="1">
      <alignment horizontal="center" vertical="center" textRotation="90"/>
    </xf>
    <xf numFmtId="0" fontId="0" fillId="41" borderId="72" xfId="0" applyFill="1" applyBorder="1" applyAlignment="1" applyProtection="1">
      <alignment horizontal="left" vertical="center"/>
      <protection locked="0"/>
    </xf>
    <xf numFmtId="0" fontId="0" fillId="41" borderId="71" xfId="0" applyFill="1" applyBorder="1" applyAlignment="1" applyProtection="1">
      <alignment horizontal="center" vertical="center"/>
      <protection locked="0"/>
    </xf>
    <xf numFmtId="0" fontId="0" fillId="41" borderId="52" xfId="0" applyFill="1" applyBorder="1" applyAlignment="1" applyProtection="1">
      <alignment horizontal="left" vertical="center" textRotation="90"/>
      <protection locked="0"/>
    </xf>
    <xf numFmtId="0" fontId="0" fillId="41" borderId="45" xfId="0" applyFill="1" applyBorder="1" applyAlignment="1" applyProtection="1">
      <alignment horizontal="left" vertical="center" textRotation="90"/>
      <protection locked="0"/>
    </xf>
    <xf numFmtId="0" fontId="0" fillId="41" borderId="47" xfId="0" applyFill="1" applyBorder="1" applyAlignment="1" applyProtection="1">
      <alignment horizontal="left" vertical="center" textRotation="90"/>
      <protection locked="0"/>
    </xf>
    <xf numFmtId="0" fontId="0" fillId="41" borderId="102" xfId="0" applyFill="1" applyBorder="1" applyAlignment="1" applyProtection="1">
      <alignment horizontal="center" vertical="center" textRotation="90"/>
      <protection locked="0"/>
    </xf>
    <xf numFmtId="0" fontId="0" fillId="41" borderId="0" xfId="0" applyFill="1" applyAlignment="1" applyProtection="1">
      <alignment horizontal="center" vertical="center" textRotation="90"/>
      <protection locked="0"/>
    </xf>
    <xf numFmtId="0" fontId="0" fillId="41" borderId="46" xfId="0" applyFill="1" applyBorder="1" applyAlignment="1" applyProtection="1">
      <alignment horizontal="center" vertical="center" textRotation="90"/>
      <protection locked="0"/>
    </xf>
    <xf numFmtId="0" fontId="0" fillId="0" borderId="52" xfId="0" applyBorder="1" applyAlignment="1">
      <alignment horizontal="left" vertical="center"/>
    </xf>
    <xf numFmtId="0" fontId="0" fillId="0" borderId="45" xfId="0" applyBorder="1" applyAlignment="1">
      <alignment horizontal="left" vertical="center"/>
    </xf>
    <xf numFmtId="0" fontId="0" fillId="0" borderId="47" xfId="0" applyBorder="1" applyAlignment="1">
      <alignment horizontal="left" vertical="center"/>
    </xf>
    <xf numFmtId="0" fontId="0" fillId="0" borderId="71" xfId="0" applyBorder="1" applyAlignment="1">
      <alignment horizontal="center" vertical="center" textRotation="90"/>
    </xf>
    <xf numFmtId="0" fontId="0" fillId="0" borderId="72" xfId="0" applyBorder="1" applyAlignment="1">
      <alignment horizontal="center" vertical="center" textRotation="90"/>
    </xf>
    <xf numFmtId="0" fontId="0" fillId="41" borderId="52" xfId="0" applyFill="1" applyBorder="1" applyAlignment="1" applyProtection="1">
      <alignment horizontal="center" vertical="center" textRotation="90"/>
      <protection locked="0"/>
    </xf>
    <xf numFmtId="0" fontId="0" fillId="41" borderId="45" xfId="0" applyFill="1" applyBorder="1" applyAlignment="1" applyProtection="1">
      <alignment horizontal="center" vertical="center" textRotation="90"/>
      <protection locked="0"/>
    </xf>
    <xf numFmtId="0" fontId="0" fillId="41" borderId="47" xfId="0" applyFill="1" applyBorder="1" applyAlignment="1" applyProtection="1">
      <alignment horizontal="center" vertical="center" textRotation="90"/>
      <protection locked="0"/>
    </xf>
    <xf numFmtId="0" fontId="0" fillId="41" borderId="74" xfId="0" applyFill="1" applyBorder="1" applyAlignment="1" applyProtection="1">
      <alignment horizontal="right" vertical="center"/>
      <protection locked="0"/>
    </xf>
    <xf numFmtId="0" fontId="0" fillId="41" borderId="2" xfId="0" applyFill="1" applyBorder="1" applyAlignment="1" applyProtection="1">
      <alignment horizontal="right" vertical="center"/>
      <protection locked="0"/>
    </xf>
    <xf numFmtId="0" fontId="0" fillId="41" borderId="48" xfId="0" applyFill="1" applyBorder="1" applyAlignment="1" applyProtection="1">
      <alignment horizontal="right" vertical="center"/>
      <protection locked="0"/>
    </xf>
    <xf numFmtId="0" fontId="0" fillId="41" borderId="71" xfId="0" applyFill="1" applyBorder="1" applyAlignment="1" applyProtection="1">
      <alignment horizontal="right" vertical="center"/>
      <protection locked="0"/>
    </xf>
    <xf numFmtId="0" fontId="0" fillId="41" borderId="57" xfId="0" applyFill="1" applyBorder="1" applyAlignment="1" applyProtection="1">
      <alignment horizontal="center"/>
      <protection locked="0"/>
    </xf>
    <xf numFmtId="0" fontId="0" fillId="41" borderId="91" xfId="0" applyFill="1" applyBorder="1" applyAlignment="1" applyProtection="1">
      <alignment horizontal="center"/>
      <protection locked="0"/>
    </xf>
    <xf numFmtId="0" fontId="0" fillId="41" borderId="90" xfId="0" applyFill="1" applyBorder="1" applyAlignment="1" applyProtection="1">
      <alignment horizontal="center"/>
      <protection locked="0"/>
    </xf>
    <xf numFmtId="0" fontId="0" fillId="41" borderId="89" xfId="0" applyFill="1" applyBorder="1" applyAlignment="1" applyProtection="1">
      <alignment horizontal="center"/>
      <protection locked="0"/>
    </xf>
    <xf numFmtId="0" fontId="0" fillId="0" borderId="70" xfId="0" applyBorder="1" applyAlignment="1">
      <alignment horizontal="center" vertical="center" textRotation="90"/>
    </xf>
    <xf numFmtId="0" fontId="0" fillId="0" borderId="88" xfId="0" applyBorder="1" applyAlignment="1">
      <alignment horizontal="center" vertical="center" textRotation="90"/>
    </xf>
    <xf numFmtId="0" fontId="10" fillId="0" borderId="68" xfId="0" applyFont="1" applyBorder="1" applyAlignment="1" applyProtection="1">
      <alignment horizontal="center"/>
      <protection hidden="1"/>
    </xf>
    <xf numFmtId="0" fontId="10" fillId="0" borderId="106" xfId="0" applyFont="1" applyBorder="1" applyAlignment="1" applyProtection="1">
      <alignment horizontal="center"/>
      <protection hidden="1"/>
    </xf>
    <xf numFmtId="0" fontId="9" fillId="5" borderId="68" xfId="0" applyFont="1" applyFill="1" applyBorder="1" applyAlignment="1" applyProtection="1">
      <alignment horizontal="center" vertical="center"/>
      <protection hidden="1"/>
    </xf>
    <xf numFmtId="0" fontId="9" fillId="5" borderId="69" xfId="0" applyFont="1" applyFill="1" applyBorder="1" applyAlignment="1" applyProtection="1">
      <alignment horizontal="center" vertical="center"/>
      <protection hidden="1"/>
    </xf>
    <xf numFmtId="0" fontId="9" fillId="5" borderId="106" xfId="0" applyFont="1" applyFill="1" applyBorder="1" applyAlignment="1" applyProtection="1">
      <alignment horizontal="center" vertical="center"/>
      <protection hidden="1"/>
    </xf>
    <xf numFmtId="0" fontId="6" fillId="5" borderId="68" xfId="0" applyFont="1" applyFill="1" applyBorder="1" applyAlignment="1" applyProtection="1">
      <alignment horizontal="center" vertical="center"/>
      <protection hidden="1"/>
    </xf>
    <xf numFmtId="0" fontId="6" fillId="5" borderId="69" xfId="0" applyFont="1" applyFill="1" applyBorder="1" applyAlignment="1" applyProtection="1">
      <alignment horizontal="center" vertical="center"/>
      <protection hidden="1"/>
    </xf>
    <xf numFmtId="0" fontId="6" fillId="5" borderId="106" xfId="0" applyFont="1" applyFill="1" applyBorder="1" applyAlignment="1" applyProtection="1">
      <alignment horizontal="center" vertical="center"/>
      <protection hidden="1"/>
    </xf>
    <xf numFmtId="0" fontId="13" fillId="9" borderId="68" xfId="0" applyFont="1" applyFill="1" applyBorder="1" applyAlignment="1" applyProtection="1">
      <alignment horizontal="center"/>
      <protection hidden="1"/>
    </xf>
    <xf numFmtId="0" fontId="13" fillId="9" borderId="106" xfId="0" applyFont="1" applyFill="1" applyBorder="1" applyAlignment="1" applyProtection="1">
      <alignment horizontal="center"/>
      <protection hidden="1"/>
    </xf>
    <xf numFmtId="0" fontId="13" fillId="9" borderId="68" xfId="0" applyFont="1" applyFill="1" applyBorder="1" applyAlignment="1" applyProtection="1">
      <alignment horizontal="center" wrapText="1"/>
      <protection hidden="1"/>
    </xf>
    <xf numFmtId="0" fontId="13" fillId="9" borderId="106" xfId="0" applyFont="1" applyFill="1" applyBorder="1" applyAlignment="1" applyProtection="1">
      <alignment horizontal="center" wrapText="1"/>
      <protection hidden="1"/>
    </xf>
    <xf numFmtId="0" fontId="0" fillId="0" borderId="68" xfId="0" applyFill="1" applyBorder="1" applyAlignment="1">
      <alignment horizontal="center"/>
    </xf>
    <xf numFmtId="0" fontId="0" fillId="0" borderId="106" xfId="0" applyFill="1" applyBorder="1" applyAlignment="1">
      <alignment horizontal="center"/>
    </xf>
    <xf numFmtId="0" fontId="0" fillId="0" borderId="68" xfId="0" applyBorder="1" applyAlignment="1">
      <alignment horizontal="center"/>
    </xf>
    <xf numFmtId="0" fontId="0" fillId="0" borderId="106" xfId="0" applyBorder="1" applyAlignment="1">
      <alignment horizontal="center"/>
    </xf>
    <xf numFmtId="0" fontId="13" fillId="9" borderId="14" xfId="0" applyFont="1" applyFill="1" applyBorder="1" applyAlignment="1" applyProtection="1">
      <alignment horizontal="center" vertical="center"/>
      <protection hidden="1"/>
    </xf>
    <xf numFmtId="0" fontId="13" fillId="9" borderId="15" xfId="0" applyFont="1" applyFill="1" applyBorder="1" applyAlignment="1" applyProtection="1">
      <alignment horizontal="center" vertical="center"/>
      <protection hidden="1"/>
    </xf>
    <xf numFmtId="0" fontId="13" fillId="9" borderId="13" xfId="0" applyFont="1" applyFill="1" applyBorder="1" applyAlignment="1" applyProtection="1">
      <alignment horizontal="center" vertical="center"/>
      <protection hidden="1"/>
    </xf>
    <xf numFmtId="0" fontId="13" fillId="9" borderId="24" xfId="0" applyFont="1" applyFill="1" applyBorder="1" applyAlignment="1" applyProtection="1">
      <alignment horizontal="center" vertical="center"/>
      <protection hidden="1"/>
    </xf>
    <xf numFmtId="0" fontId="13" fillId="9" borderId="104" xfId="0" applyFont="1" applyFill="1" applyBorder="1" applyAlignment="1" applyProtection="1">
      <alignment horizontal="center" vertical="center"/>
      <protection hidden="1"/>
    </xf>
    <xf numFmtId="0" fontId="13" fillId="9" borderId="95" xfId="0" applyFont="1" applyFill="1" applyBorder="1" applyAlignment="1" applyProtection="1">
      <alignment horizontal="center" vertical="center"/>
      <protection hidden="1"/>
    </xf>
    <xf numFmtId="0" fontId="9" fillId="48" borderId="1" xfId="0" applyFont="1" applyFill="1" applyBorder="1" applyAlignment="1" applyProtection="1">
      <alignment horizontal="center" vertical="center"/>
      <protection hidden="1"/>
    </xf>
    <xf numFmtId="0" fontId="9" fillId="48" borderId="43" xfId="0" applyFont="1" applyFill="1" applyBorder="1" applyAlignment="1" applyProtection="1">
      <alignment horizontal="center" vertical="center"/>
      <protection hidden="1"/>
    </xf>
    <xf numFmtId="0" fontId="9" fillId="48" borderId="36" xfId="0" applyFont="1" applyFill="1" applyBorder="1" applyAlignment="1" applyProtection="1">
      <alignment horizontal="center" vertical="center"/>
      <protection hidden="1"/>
    </xf>
    <xf numFmtId="0" fontId="9" fillId="48" borderId="68" xfId="0" applyFont="1" applyFill="1" applyBorder="1" applyAlignment="1" applyProtection="1">
      <alignment horizontal="center" vertical="center"/>
      <protection hidden="1"/>
    </xf>
    <xf numFmtId="0" fontId="9" fillId="48" borderId="69" xfId="0" applyFont="1" applyFill="1" applyBorder="1" applyAlignment="1" applyProtection="1">
      <alignment horizontal="center" vertical="center"/>
      <protection hidden="1"/>
    </xf>
    <xf numFmtId="0" fontId="9" fillId="48" borderId="106" xfId="0" applyFont="1" applyFill="1" applyBorder="1" applyAlignment="1" applyProtection="1">
      <alignment horizontal="center" vertical="center"/>
      <protection hidden="1"/>
    </xf>
    <xf numFmtId="0" fontId="10" fillId="0" borderId="5" xfId="0" applyFont="1" applyBorder="1" applyAlignment="1" applyProtection="1">
      <alignment horizontal="center"/>
      <protection hidden="1"/>
    </xf>
    <xf numFmtId="0" fontId="10" fillId="0" borderId="14" xfId="0" applyFont="1" applyBorder="1" applyAlignment="1" applyProtection="1">
      <alignment horizontal="center"/>
      <protection hidden="1"/>
    </xf>
    <xf numFmtId="0" fontId="0" fillId="0" borderId="67" xfId="0" applyBorder="1" applyAlignment="1">
      <alignment horizontal="center" vertical="center"/>
    </xf>
    <xf numFmtId="0" fontId="0" fillId="0" borderId="18" xfId="0" applyBorder="1" applyAlignment="1">
      <alignment horizontal="center" vertical="center"/>
    </xf>
    <xf numFmtId="0" fontId="0" fillId="0" borderId="5" xfId="0" applyBorder="1" applyAlignment="1">
      <alignment horizontal="center"/>
    </xf>
    <xf numFmtId="0" fontId="0" fillId="0" borderId="14" xfId="0" applyBorder="1" applyAlignment="1">
      <alignment horizontal="center"/>
    </xf>
    <xf numFmtId="0" fontId="10" fillId="0" borderId="16" xfId="0" applyFont="1" applyBorder="1" applyAlignment="1" applyProtection="1">
      <alignment horizontal="center"/>
      <protection hidden="1"/>
    </xf>
    <xf numFmtId="0" fontId="10" fillId="0" borderId="19" xfId="0" applyFont="1" applyBorder="1" applyAlignment="1" applyProtection="1">
      <alignment horizontal="center"/>
      <protection hidden="1"/>
    </xf>
    <xf numFmtId="0" fontId="13" fillId="0" borderId="16" xfId="0" applyFont="1" applyBorder="1" applyAlignment="1" applyProtection="1">
      <alignment horizontal="center" vertical="center"/>
      <protection hidden="1"/>
    </xf>
    <xf numFmtId="0" fontId="36" fillId="51" borderId="0" xfId="0" applyFont="1" applyFill="1" applyAlignment="1">
      <alignment horizontal="center" vertical="center"/>
    </xf>
    <xf numFmtId="0" fontId="0" fillId="0" borderId="0" xfId="0" applyAlignment="1">
      <alignment horizontal="center" vertical="center"/>
    </xf>
    <xf numFmtId="0" fontId="0" fillId="0" borderId="29" xfId="0" applyBorder="1" applyAlignment="1">
      <alignment horizontal="center" vertical="center"/>
    </xf>
    <xf numFmtId="0" fontId="0" fillId="0" borderId="5" xfId="0" applyBorder="1" applyAlignment="1">
      <alignment horizontal="center" vertical="center"/>
    </xf>
    <xf numFmtId="0" fontId="13" fillId="0" borderId="29" xfId="0" applyFont="1" applyBorder="1" applyAlignment="1" applyProtection="1">
      <alignment horizontal="center" vertical="center"/>
      <protection hidden="1"/>
    </xf>
    <xf numFmtId="0" fontId="13" fillId="0" borderId="5" xfId="0" applyFont="1" applyBorder="1" applyAlignment="1" applyProtection="1">
      <alignment horizontal="center" vertical="center"/>
      <protection hidden="1"/>
    </xf>
    <xf numFmtId="0" fontId="10" fillId="0" borderId="31" xfId="0" applyFont="1" applyBorder="1" applyAlignment="1" applyProtection="1">
      <alignment horizontal="center" vertical="center"/>
      <protection hidden="1"/>
    </xf>
    <xf numFmtId="0" fontId="10" fillId="0" borderId="32" xfId="0" applyFont="1" applyBorder="1" applyAlignment="1" applyProtection="1">
      <alignment horizontal="center" vertical="center"/>
      <protection hidden="1"/>
    </xf>
    <xf numFmtId="0" fontId="10" fillId="0" borderId="0" xfId="0" applyFont="1" applyAlignment="1" applyProtection="1">
      <alignment horizontal="center" vertical="center"/>
      <protection hidden="1"/>
    </xf>
    <xf numFmtId="0" fontId="9" fillId="5" borderId="2" xfId="0" applyFont="1" applyFill="1" applyBorder="1" applyAlignment="1" applyProtection="1">
      <alignment horizontal="center" vertical="center"/>
      <protection hidden="1"/>
    </xf>
    <xf numFmtId="0" fontId="9" fillId="5" borderId="0" xfId="0" applyFont="1" applyFill="1" applyAlignment="1" applyProtection="1">
      <alignment horizontal="center" vertical="center"/>
      <protection hidden="1"/>
    </xf>
    <xf numFmtId="0" fontId="9" fillId="5" borderId="45" xfId="0" applyFont="1" applyFill="1" applyBorder="1" applyAlignment="1" applyProtection="1">
      <alignment horizontal="center" vertical="center"/>
      <protection hidden="1"/>
    </xf>
    <xf numFmtId="0" fontId="9" fillId="5" borderId="1" xfId="0" applyFont="1" applyFill="1" applyBorder="1" applyAlignment="1" applyProtection="1">
      <alignment horizontal="center" vertical="center"/>
      <protection hidden="1"/>
    </xf>
    <xf numFmtId="0" fontId="9" fillId="5" borderId="43" xfId="0" applyFont="1" applyFill="1" applyBorder="1" applyAlignment="1" applyProtection="1">
      <alignment horizontal="center" vertical="center"/>
      <protection hidden="1"/>
    </xf>
    <xf numFmtId="0" fontId="9" fillId="5" borderId="36" xfId="0" applyFont="1" applyFill="1" applyBorder="1" applyAlignment="1" applyProtection="1">
      <alignment horizontal="center" vertical="center"/>
      <protection hidden="1"/>
    </xf>
    <xf numFmtId="0" fontId="6" fillId="5" borderId="68" xfId="0" applyFont="1" applyFill="1" applyBorder="1" applyAlignment="1" applyProtection="1">
      <alignment horizontal="center"/>
      <protection hidden="1"/>
    </xf>
    <xf numFmtId="0" fontId="6" fillId="5" borderId="69" xfId="0" applyFont="1" applyFill="1" applyBorder="1" applyAlignment="1" applyProtection="1">
      <alignment horizontal="center"/>
      <protection hidden="1"/>
    </xf>
    <xf numFmtId="0" fontId="6" fillId="5" borderId="106" xfId="0" applyFont="1" applyFill="1" applyBorder="1" applyAlignment="1" applyProtection="1">
      <alignment horizontal="center"/>
      <protection hidden="1"/>
    </xf>
    <xf numFmtId="0" fontId="13" fillId="9" borderId="31" xfId="0" applyFont="1" applyFill="1" applyBorder="1" applyAlignment="1" applyProtection="1">
      <alignment horizontal="center" vertical="center"/>
      <protection hidden="1"/>
    </xf>
    <xf numFmtId="0" fontId="13" fillId="9" borderId="32" xfId="0" applyFont="1" applyFill="1" applyBorder="1" applyAlignment="1" applyProtection="1">
      <alignment horizontal="center" vertical="center"/>
      <protection hidden="1"/>
    </xf>
    <xf numFmtId="0" fontId="13" fillId="9" borderId="98" xfId="0" applyFont="1" applyFill="1" applyBorder="1" applyAlignment="1" applyProtection="1">
      <alignment horizontal="center" vertical="center"/>
      <protection hidden="1"/>
    </xf>
    <xf numFmtId="0" fontId="13" fillId="9" borderId="26" xfId="0" applyFont="1" applyFill="1" applyBorder="1" applyAlignment="1" applyProtection="1">
      <alignment horizontal="center" vertical="center"/>
      <protection hidden="1"/>
    </xf>
    <xf numFmtId="0" fontId="13" fillId="9" borderId="27" xfId="0" applyFont="1" applyFill="1" applyBorder="1" applyAlignment="1" applyProtection="1">
      <alignment horizontal="center" vertical="center"/>
      <protection hidden="1"/>
    </xf>
    <xf numFmtId="0" fontId="49" fillId="0" borderId="85" xfId="0" applyFont="1" applyBorder="1" applyAlignment="1">
      <alignment horizontal="center"/>
    </xf>
    <xf numFmtId="0" fontId="49" fillId="0" borderId="86" xfId="0" applyFont="1" applyBorder="1" applyAlignment="1">
      <alignment horizontal="center"/>
    </xf>
    <xf numFmtId="14" fontId="50" fillId="5" borderId="1" xfId="1" applyNumberFormat="1" applyFont="1" applyFill="1" applyBorder="1" applyAlignment="1">
      <alignment horizontal="center" vertical="center"/>
    </xf>
    <xf numFmtId="14" fontId="50" fillId="5" borderId="43" xfId="1" applyNumberFormat="1" applyFont="1" applyFill="1" applyBorder="1" applyAlignment="1">
      <alignment horizontal="center" vertical="center"/>
    </xf>
    <xf numFmtId="14" fontId="50" fillId="5" borderId="36" xfId="1" applyNumberFormat="1" applyFont="1" applyFill="1" applyBorder="1" applyAlignment="1">
      <alignment horizontal="center" vertical="center"/>
    </xf>
    <xf numFmtId="14" fontId="50" fillId="5" borderId="68" xfId="1" applyNumberFormat="1" applyFont="1" applyFill="1" applyBorder="1" applyAlignment="1">
      <alignment horizontal="center" vertical="center"/>
    </xf>
    <xf numFmtId="14" fontId="50" fillId="5" borderId="69" xfId="1" applyNumberFormat="1" applyFont="1" applyFill="1" applyBorder="1" applyAlignment="1">
      <alignment horizontal="center" vertical="center"/>
    </xf>
    <xf numFmtId="14" fontId="50" fillId="5" borderId="106" xfId="1" applyNumberFormat="1" applyFont="1" applyFill="1" applyBorder="1" applyAlignment="1">
      <alignment horizontal="center" vertical="center"/>
    </xf>
    <xf numFmtId="14" fontId="50" fillId="49" borderId="68" xfId="0" applyNumberFormat="1" applyFont="1" applyFill="1" applyBorder="1" applyAlignment="1">
      <alignment horizontal="center" vertical="center"/>
    </xf>
    <xf numFmtId="14" fontId="50" fillId="49" borderId="69" xfId="0" applyNumberFormat="1" applyFont="1" applyFill="1" applyBorder="1" applyAlignment="1">
      <alignment horizontal="center" vertical="center"/>
    </xf>
    <xf numFmtId="14" fontId="50" fillId="49" borderId="106" xfId="0" applyNumberFormat="1" applyFont="1" applyFill="1" applyBorder="1" applyAlignment="1">
      <alignment horizontal="center" vertical="center"/>
    </xf>
    <xf numFmtId="0" fontId="8" fillId="0" borderId="68" xfId="1" applyFont="1" applyBorder="1" applyAlignment="1">
      <alignment horizontal="center" vertical="center" wrapText="1"/>
    </xf>
    <xf numFmtId="0" fontId="8" fillId="0" borderId="98" xfId="1" applyFont="1" applyBorder="1" applyAlignment="1">
      <alignment horizontal="center" vertical="center" wrapText="1"/>
    </xf>
    <xf numFmtId="14" fontId="50" fillId="49" borderId="1" xfId="0" applyNumberFormat="1" applyFont="1" applyFill="1" applyBorder="1" applyAlignment="1">
      <alignment horizontal="center" vertical="center"/>
    </xf>
    <xf numFmtId="14" fontId="50" fillId="49" borderId="43" xfId="0" applyNumberFormat="1" applyFont="1" applyFill="1" applyBorder="1" applyAlignment="1">
      <alignment horizontal="center" vertical="center"/>
    </xf>
    <xf numFmtId="14" fontId="50" fillId="49" borderId="36" xfId="0" applyNumberFormat="1" applyFont="1" applyFill="1" applyBorder="1" applyAlignment="1">
      <alignment horizontal="center" vertical="center"/>
    </xf>
    <xf numFmtId="0" fontId="10" fillId="0" borderId="2" xfId="1" applyFont="1" applyBorder="1" applyAlignment="1">
      <alignment horizontal="center" vertical="center" wrapText="1"/>
    </xf>
    <xf numFmtId="0" fontId="10" fillId="0" borderId="0" xfId="1" applyFont="1" applyAlignment="1">
      <alignment horizontal="center" vertical="center" wrapText="1"/>
    </xf>
    <xf numFmtId="0" fontId="8" fillId="0" borderId="1" xfId="1" applyFont="1" applyBorder="1" applyAlignment="1">
      <alignment horizontal="center" vertical="center" wrapText="1"/>
    </xf>
    <xf numFmtId="0" fontId="8" fillId="0" borderId="90" xfId="1" applyFont="1" applyBorder="1" applyAlignment="1">
      <alignment horizontal="center" vertical="center" wrapText="1"/>
    </xf>
    <xf numFmtId="0" fontId="35" fillId="0" borderId="23" xfId="0" applyFont="1" applyBorder="1" applyAlignment="1" applyProtection="1">
      <alignment horizontal="center" vertical="center"/>
      <protection locked="0"/>
    </xf>
    <xf numFmtId="4" fontId="47" fillId="5" borderId="0" xfId="0" applyNumberFormat="1" applyFont="1" applyFill="1" applyAlignment="1" applyProtection="1">
      <alignment horizontal="center" vertical="center" wrapText="1"/>
      <protection hidden="1"/>
    </xf>
    <xf numFmtId="0" fontId="3" fillId="0" borderId="5" xfId="0" applyFont="1" applyBorder="1" applyAlignment="1">
      <alignment horizontal="center"/>
    </xf>
    <xf numFmtId="0" fontId="40" fillId="0" borderId="5" xfId="0" applyFont="1" applyBorder="1" applyAlignment="1">
      <alignment horizontal="left"/>
    </xf>
    <xf numFmtId="0" fontId="40" fillId="0" borderId="5" xfId="0" applyFont="1" applyBorder="1" applyAlignment="1">
      <alignment horizontal="center"/>
    </xf>
    <xf numFmtId="0" fontId="4" fillId="3" borderId="11" xfId="0" applyFont="1" applyFill="1" applyBorder="1" applyAlignment="1">
      <alignment horizontal="center"/>
    </xf>
    <xf numFmtId="0" fontId="4" fillId="3" borderId="33" xfId="0" applyFont="1" applyFill="1" applyBorder="1" applyAlignment="1">
      <alignment horizontal="center"/>
    </xf>
    <xf numFmtId="0" fontId="4" fillId="3" borderId="34" xfId="0" applyFont="1" applyFill="1" applyBorder="1" applyAlignment="1">
      <alignment horizontal="center"/>
    </xf>
    <xf numFmtId="0" fontId="40" fillId="0" borderId="68" xfId="0" applyFont="1" applyBorder="1" applyAlignment="1">
      <alignment horizontal="center"/>
    </xf>
    <xf numFmtId="0" fontId="40" fillId="0" borderId="69" xfId="0" applyFont="1" applyBorder="1" applyAlignment="1">
      <alignment horizontal="center"/>
    </xf>
    <xf numFmtId="0" fontId="40" fillId="0" borderId="106" xfId="0" applyFont="1" applyBorder="1" applyAlignment="1">
      <alignment horizontal="center"/>
    </xf>
    <xf numFmtId="0" fontId="35" fillId="0" borderId="68" xfId="0" applyFont="1" applyBorder="1" applyAlignment="1">
      <alignment horizontal="center"/>
    </xf>
    <xf numFmtId="0" fontId="35" fillId="0" borderId="69" xfId="0" applyFont="1" applyBorder="1" applyAlignment="1">
      <alignment horizontal="center"/>
    </xf>
    <xf numFmtId="0" fontId="35" fillId="0" borderId="106" xfId="0" applyFont="1" applyBorder="1" applyAlignment="1">
      <alignment horizontal="center"/>
    </xf>
    <xf numFmtId="0" fontId="79" fillId="0" borderId="0" xfId="0" applyFont="1" applyAlignment="1">
      <alignment horizontal="center"/>
    </xf>
    <xf numFmtId="0" fontId="45" fillId="0" borderId="0" xfId="0" applyFont="1" applyAlignment="1">
      <alignment horizontal="center"/>
    </xf>
    <xf numFmtId="0" fontId="0" fillId="56" borderId="68" xfId="0" applyFill="1" applyBorder="1" applyAlignment="1">
      <alignment horizontal="center" vertical="center"/>
    </xf>
    <xf numFmtId="0" fontId="0" fillId="56" borderId="69" xfId="0" applyFill="1" applyBorder="1" applyAlignment="1">
      <alignment horizontal="center" vertical="center"/>
    </xf>
    <xf numFmtId="0" fontId="0" fillId="56" borderId="106" xfId="0" applyFill="1" applyBorder="1" applyAlignment="1">
      <alignment horizontal="center" vertical="center"/>
    </xf>
    <xf numFmtId="0" fontId="70" fillId="0" borderId="0" xfId="0" applyFont="1" applyAlignment="1">
      <alignment horizontal="center"/>
    </xf>
    <xf numFmtId="0" fontId="72" fillId="0" borderId="0" xfId="0" applyFont="1" applyAlignment="1">
      <alignment horizontal="right" vertical="center" wrapText="1"/>
    </xf>
    <xf numFmtId="0" fontId="71" fillId="0" borderId="0" xfId="0" applyFont="1" applyAlignment="1">
      <alignment horizontal="center"/>
    </xf>
    <xf numFmtId="0" fontId="72" fillId="0" borderId="0" xfId="0" applyFont="1" applyAlignment="1">
      <alignment horizontal="center" vertical="center" wrapText="1"/>
    </xf>
    <xf numFmtId="0" fontId="73" fillId="0" borderId="0" xfId="0" applyFont="1" applyAlignment="1">
      <alignment horizontal="justify" vertical="center" wrapText="1"/>
    </xf>
    <xf numFmtId="0" fontId="77" fillId="0" borderId="0" xfId="0" applyFont="1" applyAlignment="1">
      <alignment horizontal="justify" vertical="center" wrapText="1"/>
    </xf>
  </cellXfs>
  <cellStyles count="47">
    <cellStyle name="20% — акцент1" xfId="18" builtinId="30" customBuiltin="1"/>
    <cellStyle name="20% — акцент2" xfId="21" builtinId="34" customBuiltin="1"/>
    <cellStyle name="20% — акцент3" xfId="24" builtinId="38" customBuiltin="1"/>
    <cellStyle name="20% — акцент4" xfId="27" builtinId="42" customBuiltin="1"/>
    <cellStyle name="20% — акцент5" xfId="30" builtinId="46" customBuiltin="1"/>
    <cellStyle name="20% — акцент6" xfId="33" builtinId="50" customBuiltin="1"/>
    <cellStyle name="40% — акцент1" xfId="19" builtinId="31" customBuiltin="1"/>
    <cellStyle name="40% — акцент2" xfId="22" builtinId="35" customBuiltin="1"/>
    <cellStyle name="40% — акцент3" xfId="25" builtinId="39" customBuiltin="1"/>
    <cellStyle name="40% — акцент4" xfId="28" builtinId="43" customBuiltin="1"/>
    <cellStyle name="40% — акцент5" xfId="31" builtinId="47" customBuiltin="1"/>
    <cellStyle name="40% — акцент6" xfId="34" builtinId="51" customBuiltin="1"/>
    <cellStyle name="60% — акцент1 2" xfId="38" xr:uid="{00000000-0005-0000-0000-00000C000000}"/>
    <cellStyle name="60% — акцент2 2" xfId="39" xr:uid="{00000000-0005-0000-0000-00000D000000}"/>
    <cellStyle name="60% — акцент3 2" xfId="40" xr:uid="{00000000-0005-0000-0000-00000E000000}"/>
    <cellStyle name="60% — акцент4 2" xfId="41" xr:uid="{00000000-0005-0000-0000-00000F000000}"/>
    <cellStyle name="60% — акцент5 2" xfId="42" xr:uid="{00000000-0005-0000-0000-000010000000}"/>
    <cellStyle name="60% — акцент6 2" xfId="43" xr:uid="{00000000-0005-0000-0000-000011000000}"/>
    <cellStyle name="Акцент1" xfId="17" builtinId="29" customBuiltin="1"/>
    <cellStyle name="Акцент2" xfId="20" builtinId="33" customBuiltin="1"/>
    <cellStyle name="Акцент3" xfId="23" builtinId="37" customBuiltin="1"/>
    <cellStyle name="Акцент4" xfId="26" builtinId="41" customBuiltin="1"/>
    <cellStyle name="Акцент5" xfId="29" builtinId="45" customBuiltin="1"/>
    <cellStyle name="Акцент6" xfId="32" builtinId="49" customBuiltin="1"/>
    <cellStyle name="Ввод " xfId="8" builtinId="20" customBuiltin="1"/>
    <cellStyle name="Вывод" xfId="9" builtinId="21" customBuiltin="1"/>
    <cellStyle name="Вычисление" xfId="10" builtinId="22" customBuiltin="1"/>
    <cellStyle name="Гиперссылка" xfId="44" builtinId="8"/>
    <cellStyle name="Денежный" xfId="45" builtinId="4"/>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6" builtinId="25" customBuiltin="1"/>
    <cellStyle name="Контрольная ячейка" xfId="12" builtinId="23" customBuiltin="1"/>
    <cellStyle name="Название 2" xfId="36" xr:uid="{00000000-0005-0000-0000-000023000000}"/>
    <cellStyle name="Нейтральный 2" xfId="37" xr:uid="{00000000-0005-0000-0000-000024000000}"/>
    <cellStyle name="Обычный" xfId="0" builtinId="0"/>
    <cellStyle name="Обычный 2" xfId="1" xr:uid="{00000000-0005-0000-0000-000026000000}"/>
    <cellStyle name="Обычный 3" xfId="35" xr:uid="{00000000-0005-0000-0000-000027000000}"/>
    <cellStyle name="Плохой" xfId="7" builtinId="27" customBuiltin="1"/>
    <cellStyle name="Пояснение" xfId="15" builtinId="53" customBuiltin="1"/>
    <cellStyle name="Примечание" xfId="14" builtinId="10" customBuiltin="1"/>
    <cellStyle name="Процентный" xfId="46" builtinId="5"/>
    <cellStyle name="Связанная ячейка" xfId="11" builtinId="24" customBuiltin="1"/>
    <cellStyle name="Текст предупреждения" xfId="13" builtinId="11" customBuiltin="1"/>
    <cellStyle name="Хороший" xfId="6" builtinId="26" customBuiltin="1"/>
  </cellStyles>
  <dxfs count="7">
    <dxf>
      <fill>
        <patternFill patternType="none">
          <bgColor auto="1"/>
        </patternFill>
      </fill>
    </dxf>
    <dxf>
      <fill>
        <patternFill>
          <bgColor rgb="FFFF00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0000"/>
        </patternFill>
      </fill>
    </dxf>
  </dxfs>
  <tableStyles count="0" defaultTableStyle="TableStyleMedium2" defaultPivotStyle="PivotStyleLight16"/>
  <colors>
    <mruColors>
      <color rgb="FFF5D5FF"/>
      <color rgb="FF5A1F28"/>
      <color rgb="FF99CCFF"/>
      <color rgb="FFFABEB9"/>
      <color rgb="FFFECF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4.xml.rels><?xml version="1.0" encoding="UTF-8" standalone="yes"?>
<Relationships xmlns="http://schemas.openxmlformats.org/package/2006/relationships"><Relationship Id="rId8" Type="http://schemas.openxmlformats.org/officeDocument/2006/relationships/image" Target="../media/image18.png"/><Relationship Id="rId13" Type="http://schemas.openxmlformats.org/officeDocument/2006/relationships/image" Target="../media/image23.png"/><Relationship Id="rId18" Type="http://schemas.openxmlformats.org/officeDocument/2006/relationships/image" Target="../media/image28.png"/><Relationship Id="rId26" Type="http://schemas.openxmlformats.org/officeDocument/2006/relationships/image" Target="../media/image36.png"/><Relationship Id="rId3" Type="http://schemas.openxmlformats.org/officeDocument/2006/relationships/image" Target="../media/image13.png"/><Relationship Id="rId21" Type="http://schemas.openxmlformats.org/officeDocument/2006/relationships/image" Target="../media/image31.png"/><Relationship Id="rId7" Type="http://schemas.openxmlformats.org/officeDocument/2006/relationships/image" Target="../media/image17.png"/><Relationship Id="rId12" Type="http://schemas.openxmlformats.org/officeDocument/2006/relationships/image" Target="../media/image22.png"/><Relationship Id="rId17" Type="http://schemas.openxmlformats.org/officeDocument/2006/relationships/image" Target="../media/image27.png"/><Relationship Id="rId25" Type="http://schemas.openxmlformats.org/officeDocument/2006/relationships/image" Target="../media/image35.png"/><Relationship Id="rId2" Type="http://schemas.openxmlformats.org/officeDocument/2006/relationships/image" Target="../media/image12.png"/><Relationship Id="rId16" Type="http://schemas.openxmlformats.org/officeDocument/2006/relationships/image" Target="../media/image26.png"/><Relationship Id="rId20" Type="http://schemas.openxmlformats.org/officeDocument/2006/relationships/image" Target="../media/image30.png"/><Relationship Id="rId1" Type="http://schemas.openxmlformats.org/officeDocument/2006/relationships/image" Target="../media/image11.png"/><Relationship Id="rId6" Type="http://schemas.openxmlformats.org/officeDocument/2006/relationships/image" Target="../media/image16.png"/><Relationship Id="rId11" Type="http://schemas.openxmlformats.org/officeDocument/2006/relationships/image" Target="../media/image21.png"/><Relationship Id="rId24" Type="http://schemas.openxmlformats.org/officeDocument/2006/relationships/image" Target="../media/image34.png"/><Relationship Id="rId5" Type="http://schemas.openxmlformats.org/officeDocument/2006/relationships/image" Target="../media/image15.png"/><Relationship Id="rId15" Type="http://schemas.openxmlformats.org/officeDocument/2006/relationships/image" Target="../media/image25.png"/><Relationship Id="rId23" Type="http://schemas.openxmlformats.org/officeDocument/2006/relationships/image" Target="../media/image33.png"/><Relationship Id="rId10" Type="http://schemas.openxmlformats.org/officeDocument/2006/relationships/image" Target="../media/image20.png"/><Relationship Id="rId19" Type="http://schemas.openxmlformats.org/officeDocument/2006/relationships/image" Target="../media/image29.png"/><Relationship Id="rId4" Type="http://schemas.openxmlformats.org/officeDocument/2006/relationships/image" Target="../media/image14.png"/><Relationship Id="rId9" Type="http://schemas.openxmlformats.org/officeDocument/2006/relationships/image" Target="../media/image19.png"/><Relationship Id="rId14" Type="http://schemas.openxmlformats.org/officeDocument/2006/relationships/image" Target="../media/image24.png"/><Relationship Id="rId22" Type="http://schemas.openxmlformats.org/officeDocument/2006/relationships/image" Target="../media/image32.png"/><Relationship Id="rId27" Type="http://schemas.openxmlformats.org/officeDocument/2006/relationships/image" Target="../media/image37.png"/></Relationships>
</file>

<file path=xl/drawings/_rels/drawing5.xml.rels><?xml version="1.0" encoding="UTF-8" standalone="yes"?>
<Relationships xmlns="http://schemas.openxmlformats.org/package/2006/relationships"><Relationship Id="rId13" Type="http://schemas.openxmlformats.org/officeDocument/2006/relationships/image" Target="../media/image50.jpeg"/><Relationship Id="rId18" Type="http://schemas.openxmlformats.org/officeDocument/2006/relationships/image" Target="../media/image55.jpeg"/><Relationship Id="rId26" Type="http://schemas.openxmlformats.org/officeDocument/2006/relationships/image" Target="../media/image63.jpeg"/><Relationship Id="rId39" Type="http://schemas.openxmlformats.org/officeDocument/2006/relationships/image" Target="../media/image76.jpeg"/><Relationship Id="rId21" Type="http://schemas.openxmlformats.org/officeDocument/2006/relationships/image" Target="../media/image58.jpeg"/><Relationship Id="rId34" Type="http://schemas.openxmlformats.org/officeDocument/2006/relationships/image" Target="../media/image71.jpeg"/><Relationship Id="rId7" Type="http://schemas.openxmlformats.org/officeDocument/2006/relationships/image" Target="../media/image44.jpeg"/><Relationship Id="rId12" Type="http://schemas.openxmlformats.org/officeDocument/2006/relationships/image" Target="../media/image49.jpeg"/><Relationship Id="rId17" Type="http://schemas.openxmlformats.org/officeDocument/2006/relationships/image" Target="../media/image54.jpeg"/><Relationship Id="rId25" Type="http://schemas.openxmlformats.org/officeDocument/2006/relationships/image" Target="../media/image62.jpeg"/><Relationship Id="rId33" Type="http://schemas.openxmlformats.org/officeDocument/2006/relationships/image" Target="../media/image70.jpeg"/><Relationship Id="rId38" Type="http://schemas.openxmlformats.org/officeDocument/2006/relationships/image" Target="../media/image75.jpeg"/><Relationship Id="rId2" Type="http://schemas.openxmlformats.org/officeDocument/2006/relationships/image" Target="../media/image39.jpeg"/><Relationship Id="rId16" Type="http://schemas.openxmlformats.org/officeDocument/2006/relationships/image" Target="../media/image53.jpeg"/><Relationship Id="rId20" Type="http://schemas.openxmlformats.org/officeDocument/2006/relationships/image" Target="../media/image57.jpeg"/><Relationship Id="rId29" Type="http://schemas.openxmlformats.org/officeDocument/2006/relationships/image" Target="../media/image66.jpeg"/><Relationship Id="rId1" Type="http://schemas.openxmlformats.org/officeDocument/2006/relationships/image" Target="../media/image38.jpeg"/><Relationship Id="rId6" Type="http://schemas.openxmlformats.org/officeDocument/2006/relationships/image" Target="../media/image43.jpeg"/><Relationship Id="rId11" Type="http://schemas.openxmlformats.org/officeDocument/2006/relationships/image" Target="../media/image48.jpeg"/><Relationship Id="rId24" Type="http://schemas.openxmlformats.org/officeDocument/2006/relationships/image" Target="../media/image61.jpeg"/><Relationship Id="rId32" Type="http://schemas.openxmlformats.org/officeDocument/2006/relationships/image" Target="../media/image69.jpeg"/><Relationship Id="rId37" Type="http://schemas.openxmlformats.org/officeDocument/2006/relationships/image" Target="../media/image74.jpeg"/><Relationship Id="rId5" Type="http://schemas.openxmlformats.org/officeDocument/2006/relationships/image" Target="../media/image42.jpeg"/><Relationship Id="rId15" Type="http://schemas.openxmlformats.org/officeDocument/2006/relationships/image" Target="../media/image52.jpeg"/><Relationship Id="rId23" Type="http://schemas.openxmlformats.org/officeDocument/2006/relationships/image" Target="../media/image60.jpeg"/><Relationship Id="rId28" Type="http://schemas.openxmlformats.org/officeDocument/2006/relationships/image" Target="../media/image65.jpeg"/><Relationship Id="rId36" Type="http://schemas.openxmlformats.org/officeDocument/2006/relationships/image" Target="../media/image73.jpeg"/><Relationship Id="rId10" Type="http://schemas.openxmlformats.org/officeDocument/2006/relationships/image" Target="../media/image47.jpeg"/><Relationship Id="rId19" Type="http://schemas.openxmlformats.org/officeDocument/2006/relationships/image" Target="../media/image56.jpeg"/><Relationship Id="rId31" Type="http://schemas.openxmlformats.org/officeDocument/2006/relationships/image" Target="../media/image68.jpeg"/><Relationship Id="rId4" Type="http://schemas.openxmlformats.org/officeDocument/2006/relationships/image" Target="../media/image41.jpeg"/><Relationship Id="rId9" Type="http://schemas.openxmlformats.org/officeDocument/2006/relationships/image" Target="../media/image46.jpeg"/><Relationship Id="rId14" Type="http://schemas.openxmlformats.org/officeDocument/2006/relationships/image" Target="../media/image51.jpeg"/><Relationship Id="rId22" Type="http://schemas.openxmlformats.org/officeDocument/2006/relationships/image" Target="../media/image59.jpeg"/><Relationship Id="rId27" Type="http://schemas.openxmlformats.org/officeDocument/2006/relationships/image" Target="../media/image64.jpeg"/><Relationship Id="rId30" Type="http://schemas.openxmlformats.org/officeDocument/2006/relationships/image" Target="../media/image67.jpeg"/><Relationship Id="rId35" Type="http://schemas.openxmlformats.org/officeDocument/2006/relationships/image" Target="../media/image72.jpeg"/><Relationship Id="rId8" Type="http://schemas.openxmlformats.org/officeDocument/2006/relationships/image" Target="../media/image45.jpeg"/><Relationship Id="rId3" Type="http://schemas.openxmlformats.org/officeDocument/2006/relationships/image" Target="../media/image40.jpeg"/></Relationships>
</file>

<file path=xl/drawings/_rels/drawing6.xml.rels><?xml version="1.0" encoding="UTF-8" standalone="yes"?>
<Relationships xmlns="http://schemas.openxmlformats.org/package/2006/relationships"><Relationship Id="rId3" Type="http://schemas.openxmlformats.org/officeDocument/2006/relationships/image" Target="../media/image77.png"/><Relationship Id="rId2" Type="http://schemas.openxmlformats.org/officeDocument/2006/relationships/image" Target="../media/image290.png"/><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twoCellAnchor>
    <xdr:from>
      <xdr:col>22</xdr:col>
      <xdr:colOff>295275</xdr:colOff>
      <xdr:row>5</xdr:row>
      <xdr:rowOff>4057</xdr:rowOff>
    </xdr:from>
    <xdr:to>
      <xdr:col>39</xdr:col>
      <xdr:colOff>171450</xdr:colOff>
      <xdr:row>27</xdr:row>
      <xdr:rowOff>0</xdr:rowOff>
    </xdr:to>
    <xdr:grpSp>
      <xdr:nvGrpSpPr>
        <xdr:cNvPr id="302" name="Группа 301">
          <a:extLst>
            <a:ext uri="{FF2B5EF4-FFF2-40B4-BE49-F238E27FC236}">
              <a16:creationId xmlns:a16="http://schemas.microsoft.com/office/drawing/2014/main" id="{00000000-0008-0000-0300-00002E010000}"/>
            </a:ext>
          </a:extLst>
        </xdr:cNvPr>
        <xdr:cNvGrpSpPr/>
      </xdr:nvGrpSpPr>
      <xdr:grpSpPr>
        <a:xfrm>
          <a:off x="8432682" y="944798"/>
          <a:ext cx="5003212" cy="4064646"/>
          <a:chOff x="923925" y="956557"/>
          <a:chExt cx="5029200" cy="4110743"/>
        </a:xfrm>
      </xdr:grpSpPr>
      <xdr:sp macro="" textlink="">
        <xdr:nvSpPr>
          <xdr:cNvPr id="230" name="Овал 229">
            <a:extLst>
              <a:ext uri="{FF2B5EF4-FFF2-40B4-BE49-F238E27FC236}">
                <a16:creationId xmlns:a16="http://schemas.microsoft.com/office/drawing/2014/main" id="{00000000-0008-0000-0300-0000E6000000}"/>
              </a:ext>
            </a:extLst>
          </xdr:cNvPr>
          <xdr:cNvSpPr/>
        </xdr:nvSpPr>
        <xdr:spPr>
          <a:xfrm>
            <a:off x="1076325" y="1600200"/>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sp macro="" textlink="">
        <xdr:nvSpPr>
          <xdr:cNvPr id="231" name="Овал 230">
            <a:extLst>
              <a:ext uri="{FF2B5EF4-FFF2-40B4-BE49-F238E27FC236}">
                <a16:creationId xmlns:a16="http://schemas.microsoft.com/office/drawing/2014/main" id="{00000000-0008-0000-0300-0000E7000000}"/>
              </a:ext>
            </a:extLst>
          </xdr:cNvPr>
          <xdr:cNvSpPr/>
        </xdr:nvSpPr>
        <xdr:spPr>
          <a:xfrm>
            <a:off x="1076325" y="4448175"/>
            <a:ext cx="152400"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xnSp macro="">
        <xdr:nvCxnSpPr>
          <xdr:cNvPr id="234" name="Прямая со стрелкой 233">
            <a:extLst>
              <a:ext uri="{FF2B5EF4-FFF2-40B4-BE49-F238E27FC236}">
                <a16:creationId xmlns:a16="http://schemas.microsoft.com/office/drawing/2014/main" id="{00000000-0008-0000-0300-0000EA000000}"/>
              </a:ext>
            </a:extLst>
          </xdr:cNvPr>
          <xdr:cNvCxnSpPr/>
        </xdr:nvCxnSpPr>
        <xdr:spPr>
          <a:xfrm>
            <a:off x="933450" y="1152525"/>
            <a:ext cx="0" cy="51435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35" name="Прямая со стрелкой 234">
            <a:extLst>
              <a:ext uri="{FF2B5EF4-FFF2-40B4-BE49-F238E27FC236}">
                <a16:creationId xmlns:a16="http://schemas.microsoft.com/office/drawing/2014/main" id="{00000000-0008-0000-0300-0000EB000000}"/>
              </a:ext>
            </a:extLst>
          </xdr:cNvPr>
          <xdr:cNvCxnSpPr/>
        </xdr:nvCxnSpPr>
        <xdr:spPr>
          <a:xfrm>
            <a:off x="923925" y="4533900"/>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38" name="Овал 237">
            <a:extLst>
              <a:ext uri="{FF2B5EF4-FFF2-40B4-BE49-F238E27FC236}">
                <a16:creationId xmlns:a16="http://schemas.microsoft.com/office/drawing/2014/main" id="{00000000-0008-0000-0300-0000EE000000}"/>
              </a:ext>
            </a:extLst>
          </xdr:cNvPr>
          <xdr:cNvSpPr/>
        </xdr:nvSpPr>
        <xdr:spPr>
          <a:xfrm>
            <a:off x="5619750" y="159067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sp macro="" textlink="">
        <xdr:nvSpPr>
          <xdr:cNvPr id="239" name="Овал 238">
            <a:extLst>
              <a:ext uri="{FF2B5EF4-FFF2-40B4-BE49-F238E27FC236}">
                <a16:creationId xmlns:a16="http://schemas.microsoft.com/office/drawing/2014/main" id="{00000000-0008-0000-0300-0000EF000000}"/>
              </a:ext>
            </a:extLst>
          </xdr:cNvPr>
          <xdr:cNvSpPr/>
        </xdr:nvSpPr>
        <xdr:spPr>
          <a:xfrm>
            <a:off x="5629275" y="4457700"/>
            <a:ext cx="152400"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xnSp macro="">
        <xdr:nvCxnSpPr>
          <xdr:cNvPr id="242" name="Прямая со стрелкой 241">
            <a:extLst>
              <a:ext uri="{FF2B5EF4-FFF2-40B4-BE49-F238E27FC236}">
                <a16:creationId xmlns:a16="http://schemas.microsoft.com/office/drawing/2014/main" id="{00000000-0008-0000-0300-0000F2000000}"/>
              </a:ext>
            </a:extLst>
          </xdr:cNvPr>
          <xdr:cNvCxnSpPr/>
        </xdr:nvCxnSpPr>
        <xdr:spPr>
          <a:xfrm>
            <a:off x="5943600" y="1162050"/>
            <a:ext cx="0" cy="51435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43" name="Прямая со стрелкой 242">
            <a:extLst>
              <a:ext uri="{FF2B5EF4-FFF2-40B4-BE49-F238E27FC236}">
                <a16:creationId xmlns:a16="http://schemas.microsoft.com/office/drawing/2014/main" id="{00000000-0008-0000-0300-0000F3000000}"/>
              </a:ext>
            </a:extLst>
          </xdr:cNvPr>
          <xdr:cNvCxnSpPr/>
        </xdr:nvCxnSpPr>
        <xdr:spPr>
          <a:xfrm>
            <a:off x="5953125" y="4543425"/>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60" name="Прямая со стрелкой 259">
            <a:extLst>
              <a:ext uri="{FF2B5EF4-FFF2-40B4-BE49-F238E27FC236}">
                <a16:creationId xmlns:a16="http://schemas.microsoft.com/office/drawing/2014/main" id="{00000000-0008-0000-0300-000004010000}"/>
              </a:ext>
            </a:extLst>
          </xdr:cNvPr>
          <xdr:cNvCxnSpPr/>
        </xdr:nvCxnSpPr>
        <xdr:spPr>
          <a:xfrm flipH="1" flipV="1">
            <a:off x="1076955" y="956557"/>
            <a:ext cx="1637670" cy="4226"/>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61" name="Прямая со стрелкой 260">
            <a:extLst>
              <a:ext uri="{FF2B5EF4-FFF2-40B4-BE49-F238E27FC236}">
                <a16:creationId xmlns:a16="http://schemas.microsoft.com/office/drawing/2014/main" id="{00000000-0008-0000-0300-000005010000}"/>
              </a:ext>
            </a:extLst>
          </xdr:cNvPr>
          <xdr:cNvCxnSpPr/>
        </xdr:nvCxnSpPr>
        <xdr:spPr>
          <a:xfrm flipH="1" flipV="1">
            <a:off x="4136136" y="959870"/>
            <a:ext cx="1637256" cy="4226"/>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62" name="Прямая со стрелкой 261">
            <a:extLst>
              <a:ext uri="{FF2B5EF4-FFF2-40B4-BE49-F238E27FC236}">
                <a16:creationId xmlns:a16="http://schemas.microsoft.com/office/drawing/2014/main" id="{00000000-0008-0000-0300-000006010000}"/>
              </a:ext>
            </a:extLst>
          </xdr:cNvPr>
          <xdr:cNvCxnSpPr/>
        </xdr:nvCxnSpPr>
        <xdr:spPr>
          <a:xfrm flipH="1">
            <a:off x="3413263" y="1166451"/>
            <a:ext cx="12942" cy="3900849"/>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43</xdr:col>
      <xdr:colOff>295275</xdr:colOff>
      <xdr:row>5</xdr:row>
      <xdr:rowOff>4057</xdr:rowOff>
    </xdr:from>
    <xdr:to>
      <xdr:col>60</xdr:col>
      <xdr:colOff>161925</xdr:colOff>
      <xdr:row>28</xdr:row>
      <xdr:rowOff>74557</xdr:rowOff>
    </xdr:to>
    <xdr:grpSp>
      <xdr:nvGrpSpPr>
        <xdr:cNvPr id="58" name="Группа 57">
          <a:extLst>
            <a:ext uri="{FF2B5EF4-FFF2-40B4-BE49-F238E27FC236}">
              <a16:creationId xmlns:a16="http://schemas.microsoft.com/office/drawing/2014/main" id="{00000000-0008-0000-0300-00003A000000}"/>
            </a:ext>
          </a:extLst>
        </xdr:cNvPr>
        <xdr:cNvGrpSpPr/>
      </xdr:nvGrpSpPr>
      <xdr:grpSpPr>
        <a:xfrm>
          <a:off x="15946849" y="944798"/>
          <a:ext cx="4993687" cy="4327352"/>
          <a:chOff x="8534400" y="956557"/>
          <a:chExt cx="5019675" cy="4375800"/>
        </a:xfrm>
      </xdr:grpSpPr>
      <xdr:sp macro="" textlink="">
        <xdr:nvSpPr>
          <xdr:cNvPr id="268" name="Овал 267">
            <a:extLst>
              <a:ext uri="{FF2B5EF4-FFF2-40B4-BE49-F238E27FC236}">
                <a16:creationId xmlns:a16="http://schemas.microsoft.com/office/drawing/2014/main" id="{00000000-0008-0000-0300-00000C010000}"/>
              </a:ext>
            </a:extLst>
          </xdr:cNvPr>
          <xdr:cNvSpPr/>
        </xdr:nvSpPr>
        <xdr:spPr>
          <a:xfrm>
            <a:off x="8686800" y="1600200"/>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sp macro="" textlink="">
        <xdr:nvSpPr>
          <xdr:cNvPr id="269" name="Овал 268">
            <a:extLst>
              <a:ext uri="{FF2B5EF4-FFF2-40B4-BE49-F238E27FC236}">
                <a16:creationId xmlns:a16="http://schemas.microsoft.com/office/drawing/2014/main" id="{00000000-0008-0000-0300-00000D010000}"/>
              </a:ext>
            </a:extLst>
          </xdr:cNvPr>
          <xdr:cNvSpPr/>
        </xdr:nvSpPr>
        <xdr:spPr>
          <a:xfrm>
            <a:off x="8686800" y="4448175"/>
            <a:ext cx="152400"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xnSp macro="">
        <xdr:nvCxnSpPr>
          <xdr:cNvPr id="271" name="Прямая со стрелкой 270">
            <a:extLst>
              <a:ext uri="{FF2B5EF4-FFF2-40B4-BE49-F238E27FC236}">
                <a16:creationId xmlns:a16="http://schemas.microsoft.com/office/drawing/2014/main" id="{00000000-0008-0000-0300-00000F010000}"/>
              </a:ext>
            </a:extLst>
          </xdr:cNvPr>
          <xdr:cNvCxnSpPr/>
        </xdr:nvCxnSpPr>
        <xdr:spPr>
          <a:xfrm>
            <a:off x="8543925" y="1152525"/>
            <a:ext cx="0" cy="51435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72" name="Прямая со стрелкой 271">
            <a:extLst>
              <a:ext uri="{FF2B5EF4-FFF2-40B4-BE49-F238E27FC236}">
                <a16:creationId xmlns:a16="http://schemas.microsoft.com/office/drawing/2014/main" id="{00000000-0008-0000-0300-000010010000}"/>
              </a:ext>
            </a:extLst>
          </xdr:cNvPr>
          <xdr:cNvCxnSpPr/>
        </xdr:nvCxnSpPr>
        <xdr:spPr>
          <a:xfrm>
            <a:off x="8534400" y="4533900"/>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74" name="Овал 273">
            <a:extLst>
              <a:ext uri="{FF2B5EF4-FFF2-40B4-BE49-F238E27FC236}">
                <a16:creationId xmlns:a16="http://schemas.microsoft.com/office/drawing/2014/main" id="{00000000-0008-0000-0300-000012010000}"/>
              </a:ext>
            </a:extLst>
          </xdr:cNvPr>
          <xdr:cNvSpPr/>
        </xdr:nvSpPr>
        <xdr:spPr>
          <a:xfrm>
            <a:off x="13230225" y="159067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sp macro="" textlink="">
        <xdr:nvSpPr>
          <xdr:cNvPr id="275" name="Овал 274">
            <a:extLst>
              <a:ext uri="{FF2B5EF4-FFF2-40B4-BE49-F238E27FC236}">
                <a16:creationId xmlns:a16="http://schemas.microsoft.com/office/drawing/2014/main" id="{00000000-0008-0000-0300-000013010000}"/>
              </a:ext>
            </a:extLst>
          </xdr:cNvPr>
          <xdr:cNvSpPr/>
        </xdr:nvSpPr>
        <xdr:spPr>
          <a:xfrm>
            <a:off x="13239750" y="4457700"/>
            <a:ext cx="152400"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xnSp macro="">
        <xdr:nvCxnSpPr>
          <xdr:cNvPr id="277" name="Прямая со стрелкой 276">
            <a:extLst>
              <a:ext uri="{FF2B5EF4-FFF2-40B4-BE49-F238E27FC236}">
                <a16:creationId xmlns:a16="http://schemas.microsoft.com/office/drawing/2014/main" id="{00000000-0008-0000-0300-000015010000}"/>
              </a:ext>
            </a:extLst>
          </xdr:cNvPr>
          <xdr:cNvCxnSpPr/>
        </xdr:nvCxnSpPr>
        <xdr:spPr>
          <a:xfrm>
            <a:off x="13554075" y="1162050"/>
            <a:ext cx="0" cy="51435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78" name="Прямая со стрелкой 277">
            <a:extLst>
              <a:ext uri="{FF2B5EF4-FFF2-40B4-BE49-F238E27FC236}">
                <a16:creationId xmlns:a16="http://schemas.microsoft.com/office/drawing/2014/main" id="{00000000-0008-0000-0300-000016010000}"/>
              </a:ext>
            </a:extLst>
          </xdr:cNvPr>
          <xdr:cNvCxnSpPr/>
        </xdr:nvCxnSpPr>
        <xdr:spPr>
          <a:xfrm>
            <a:off x="13544550" y="4543425"/>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80" name="Овал 279">
            <a:extLst>
              <a:ext uri="{FF2B5EF4-FFF2-40B4-BE49-F238E27FC236}">
                <a16:creationId xmlns:a16="http://schemas.microsoft.com/office/drawing/2014/main" id="{00000000-0008-0000-0300-000018010000}"/>
              </a:ext>
            </a:extLst>
          </xdr:cNvPr>
          <xdr:cNvSpPr/>
        </xdr:nvSpPr>
        <xdr:spPr>
          <a:xfrm>
            <a:off x="12012216" y="4108847"/>
            <a:ext cx="76200" cy="85725"/>
          </a:xfrm>
          <a:prstGeom prst="ellipse">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sp macro="" textlink="">
        <xdr:nvSpPr>
          <xdr:cNvPr id="281" name="Овал 280">
            <a:extLst>
              <a:ext uri="{FF2B5EF4-FFF2-40B4-BE49-F238E27FC236}">
                <a16:creationId xmlns:a16="http://schemas.microsoft.com/office/drawing/2014/main" id="{00000000-0008-0000-0300-000019010000}"/>
              </a:ext>
            </a:extLst>
          </xdr:cNvPr>
          <xdr:cNvSpPr/>
        </xdr:nvSpPr>
        <xdr:spPr>
          <a:xfrm>
            <a:off x="12003039" y="4680857"/>
            <a:ext cx="82826" cy="87796"/>
          </a:xfrm>
          <a:prstGeom prst="ellipse">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xnSp macro="">
        <xdr:nvCxnSpPr>
          <xdr:cNvPr id="282" name="Прямая со стрелкой 281">
            <a:extLst>
              <a:ext uri="{FF2B5EF4-FFF2-40B4-BE49-F238E27FC236}">
                <a16:creationId xmlns:a16="http://schemas.microsoft.com/office/drawing/2014/main" id="{00000000-0008-0000-0300-00001A010000}"/>
              </a:ext>
            </a:extLst>
          </xdr:cNvPr>
          <xdr:cNvCxnSpPr/>
        </xdr:nvCxnSpPr>
        <xdr:spPr>
          <a:xfrm>
            <a:off x="11619310" y="4146947"/>
            <a:ext cx="0" cy="567928"/>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83" name="Прямая со стрелкой 282">
            <a:extLst>
              <a:ext uri="{FF2B5EF4-FFF2-40B4-BE49-F238E27FC236}">
                <a16:creationId xmlns:a16="http://schemas.microsoft.com/office/drawing/2014/main" id="{00000000-0008-0000-0300-00001B010000}"/>
              </a:ext>
            </a:extLst>
          </xdr:cNvPr>
          <xdr:cNvCxnSpPr/>
        </xdr:nvCxnSpPr>
        <xdr:spPr>
          <a:xfrm>
            <a:off x="11619970" y="4723929"/>
            <a:ext cx="0" cy="340829"/>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84" name="Прямая со стрелкой 283">
            <a:extLst>
              <a:ext uri="{FF2B5EF4-FFF2-40B4-BE49-F238E27FC236}">
                <a16:creationId xmlns:a16="http://schemas.microsoft.com/office/drawing/2014/main" id="{00000000-0008-0000-0300-00001C010000}"/>
              </a:ext>
            </a:extLst>
          </xdr:cNvPr>
          <xdr:cNvCxnSpPr/>
        </xdr:nvCxnSpPr>
        <xdr:spPr>
          <a:xfrm flipH="1">
            <a:off x="11757463" y="5301854"/>
            <a:ext cx="282876" cy="61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85" name="Овал 284">
            <a:extLst>
              <a:ext uri="{FF2B5EF4-FFF2-40B4-BE49-F238E27FC236}">
                <a16:creationId xmlns:a16="http://schemas.microsoft.com/office/drawing/2014/main" id="{00000000-0008-0000-0300-00001D010000}"/>
              </a:ext>
            </a:extLst>
          </xdr:cNvPr>
          <xdr:cNvSpPr/>
        </xdr:nvSpPr>
        <xdr:spPr>
          <a:xfrm>
            <a:off x="9990001" y="4107205"/>
            <a:ext cx="78499" cy="85725"/>
          </a:xfrm>
          <a:prstGeom prst="ellipse">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sp macro="" textlink="">
        <xdr:nvSpPr>
          <xdr:cNvPr id="286" name="Овал 285">
            <a:extLst>
              <a:ext uri="{FF2B5EF4-FFF2-40B4-BE49-F238E27FC236}">
                <a16:creationId xmlns:a16="http://schemas.microsoft.com/office/drawing/2014/main" id="{00000000-0008-0000-0300-00001E010000}"/>
              </a:ext>
            </a:extLst>
          </xdr:cNvPr>
          <xdr:cNvSpPr/>
        </xdr:nvSpPr>
        <xdr:spPr>
          <a:xfrm>
            <a:off x="9987585" y="4674811"/>
            <a:ext cx="78499" cy="85725"/>
          </a:xfrm>
          <a:prstGeom prst="ellipse">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xnSp macro="">
        <xdr:nvCxnSpPr>
          <xdr:cNvPr id="287" name="Прямая со стрелкой 286">
            <a:extLst>
              <a:ext uri="{FF2B5EF4-FFF2-40B4-BE49-F238E27FC236}">
                <a16:creationId xmlns:a16="http://schemas.microsoft.com/office/drawing/2014/main" id="{00000000-0008-0000-0300-00001F010000}"/>
              </a:ext>
            </a:extLst>
          </xdr:cNvPr>
          <xdr:cNvCxnSpPr/>
        </xdr:nvCxnSpPr>
        <xdr:spPr>
          <a:xfrm>
            <a:off x="10469288" y="4719145"/>
            <a:ext cx="0" cy="344542"/>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88" name="Прямая со стрелкой 287">
            <a:extLst>
              <a:ext uri="{FF2B5EF4-FFF2-40B4-BE49-F238E27FC236}">
                <a16:creationId xmlns:a16="http://schemas.microsoft.com/office/drawing/2014/main" id="{00000000-0008-0000-0300-000020010000}"/>
              </a:ext>
            </a:extLst>
          </xdr:cNvPr>
          <xdr:cNvCxnSpPr/>
        </xdr:nvCxnSpPr>
        <xdr:spPr>
          <a:xfrm flipH="1">
            <a:off x="10037708" y="5331742"/>
            <a:ext cx="281562" cy="61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89" name="Прямая со стрелкой 288">
            <a:extLst>
              <a:ext uri="{FF2B5EF4-FFF2-40B4-BE49-F238E27FC236}">
                <a16:creationId xmlns:a16="http://schemas.microsoft.com/office/drawing/2014/main" id="{00000000-0008-0000-0300-000021010000}"/>
              </a:ext>
            </a:extLst>
          </xdr:cNvPr>
          <xdr:cNvCxnSpPr/>
        </xdr:nvCxnSpPr>
        <xdr:spPr>
          <a:xfrm>
            <a:off x="10468550" y="4142349"/>
            <a:ext cx="0" cy="567928"/>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90" name="Овал 289">
            <a:extLst>
              <a:ext uri="{FF2B5EF4-FFF2-40B4-BE49-F238E27FC236}">
                <a16:creationId xmlns:a16="http://schemas.microsoft.com/office/drawing/2014/main" id="{00000000-0008-0000-0300-000022010000}"/>
              </a:ext>
            </a:extLst>
          </xdr:cNvPr>
          <xdr:cNvSpPr/>
        </xdr:nvSpPr>
        <xdr:spPr>
          <a:xfrm>
            <a:off x="12596191" y="4680089"/>
            <a:ext cx="77857" cy="85725"/>
          </a:xfrm>
          <a:prstGeom prst="ellipse">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sp macro="" textlink="">
        <xdr:nvSpPr>
          <xdr:cNvPr id="291" name="Овал 290">
            <a:extLst>
              <a:ext uri="{FF2B5EF4-FFF2-40B4-BE49-F238E27FC236}">
                <a16:creationId xmlns:a16="http://schemas.microsoft.com/office/drawing/2014/main" id="{00000000-0008-0000-0300-000023010000}"/>
              </a:ext>
            </a:extLst>
          </xdr:cNvPr>
          <xdr:cNvSpPr/>
        </xdr:nvSpPr>
        <xdr:spPr>
          <a:xfrm>
            <a:off x="9418983" y="4682987"/>
            <a:ext cx="70817" cy="85725"/>
          </a:xfrm>
          <a:prstGeom prst="ellipse">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xnSp macro="">
        <xdr:nvCxnSpPr>
          <xdr:cNvPr id="292" name="Прямая со стрелкой 291">
            <a:extLst>
              <a:ext uri="{FF2B5EF4-FFF2-40B4-BE49-F238E27FC236}">
                <a16:creationId xmlns:a16="http://schemas.microsoft.com/office/drawing/2014/main" id="{00000000-0008-0000-0300-000024010000}"/>
              </a:ext>
            </a:extLst>
          </xdr:cNvPr>
          <xdr:cNvCxnSpPr/>
        </xdr:nvCxnSpPr>
        <xdr:spPr>
          <a:xfrm flipH="1" flipV="1">
            <a:off x="12031533" y="5304511"/>
            <a:ext cx="589092" cy="2571"/>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93" name="Прямая со стрелкой 292">
            <a:extLst>
              <a:ext uri="{FF2B5EF4-FFF2-40B4-BE49-F238E27FC236}">
                <a16:creationId xmlns:a16="http://schemas.microsoft.com/office/drawing/2014/main" id="{00000000-0008-0000-0300-000025010000}"/>
              </a:ext>
            </a:extLst>
          </xdr:cNvPr>
          <xdr:cNvCxnSpPr/>
        </xdr:nvCxnSpPr>
        <xdr:spPr>
          <a:xfrm flipH="1" flipV="1">
            <a:off x="9441147" y="5329359"/>
            <a:ext cx="586193" cy="2571"/>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94" name="Прямая со стрелкой 293">
            <a:extLst>
              <a:ext uri="{FF2B5EF4-FFF2-40B4-BE49-F238E27FC236}">
                <a16:creationId xmlns:a16="http://schemas.microsoft.com/office/drawing/2014/main" id="{00000000-0008-0000-0300-000026010000}"/>
              </a:ext>
            </a:extLst>
          </xdr:cNvPr>
          <xdr:cNvCxnSpPr/>
        </xdr:nvCxnSpPr>
        <xdr:spPr>
          <a:xfrm flipH="1" flipV="1">
            <a:off x="8687430" y="956557"/>
            <a:ext cx="1637670" cy="4226"/>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95" name="Прямая со стрелкой 294">
            <a:extLst>
              <a:ext uri="{FF2B5EF4-FFF2-40B4-BE49-F238E27FC236}">
                <a16:creationId xmlns:a16="http://schemas.microsoft.com/office/drawing/2014/main" id="{00000000-0008-0000-0300-000027010000}"/>
              </a:ext>
            </a:extLst>
          </xdr:cNvPr>
          <xdr:cNvCxnSpPr/>
        </xdr:nvCxnSpPr>
        <xdr:spPr>
          <a:xfrm flipH="1" flipV="1">
            <a:off x="11746611" y="959870"/>
            <a:ext cx="1637256" cy="4226"/>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96" name="Прямая со стрелкой 295">
            <a:extLst>
              <a:ext uri="{FF2B5EF4-FFF2-40B4-BE49-F238E27FC236}">
                <a16:creationId xmlns:a16="http://schemas.microsoft.com/office/drawing/2014/main" id="{00000000-0008-0000-0300-000028010000}"/>
              </a:ext>
            </a:extLst>
          </xdr:cNvPr>
          <xdr:cNvCxnSpPr/>
        </xdr:nvCxnSpPr>
        <xdr:spPr>
          <a:xfrm flipH="1">
            <a:off x="11023738" y="1166451"/>
            <a:ext cx="12942" cy="3900849"/>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grpSp>
        <xdr:nvGrpSpPr>
          <xdr:cNvPr id="297" name="Группа 296">
            <a:extLst>
              <a:ext uri="{FF2B5EF4-FFF2-40B4-BE49-F238E27FC236}">
                <a16:creationId xmlns:a16="http://schemas.microsoft.com/office/drawing/2014/main" id="{00000000-0008-0000-0300-000029010000}"/>
              </a:ext>
            </a:extLst>
          </xdr:cNvPr>
          <xdr:cNvGrpSpPr/>
        </xdr:nvGrpSpPr>
        <xdr:grpSpPr>
          <a:xfrm>
            <a:off x="12106135" y="3943350"/>
            <a:ext cx="540580" cy="159001"/>
            <a:chOff x="4451348" y="3768587"/>
            <a:chExt cx="543065" cy="159001"/>
          </a:xfrm>
        </xdr:grpSpPr>
        <xdr:cxnSp macro="">
          <xdr:nvCxnSpPr>
            <xdr:cNvPr id="298" name="Прямая со стрелкой 297">
              <a:extLst>
                <a:ext uri="{FF2B5EF4-FFF2-40B4-BE49-F238E27FC236}">
                  <a16:creationId xmlns:a16="http://schemas.microsoft.com/office/drawing/2014/main" id="{00000000-0008-0000-0300-00002A010000}"/>
                </a:ext>
              </a:extLst>
            </xdr:cNvPr>
            <xdr:cNvCxnSpPr>
              <a:endCxn id="280" idx="7"/>
            </xdr:cNvCxnSpPr>
          </xdr:nvCxnSpPr>
          <xdr:spPr>
            <a:xfrm flipH="1">
              <a:off x="4451348" y="3776870"/>
              <a:ext cx="145500" cy="150718"/>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99" name="Прямая соединительная линия 298">
              <a:extLst>
                <a:ext uri="{FF2B5EF4-FFF2-40B4-BE49-F238E27FC236}">
                  <a16:creationId xmlns:a16="http://schemas.microsoft.com/office/drawing/2014/main" id="{00000000-0008-0000-0300-00002B010000}"/>
                </a:ext>
              </a:extLst>
            </xdr:cNvPr>
            <xdr:cNvCxnSpPr/>
          </xdr:nvCxnSpPr>
          <xdr:spPr>
            <a:xfrm>
              <a:off x="4596848" y="3768587"/>
              <a:ext cx="397565" cy="1"/>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grpSp>
      <xdr:grpSp>
        <xdr:nvGrpSpPr>
          <xdr:cNvPr id="18" name="Группа 17">
            <a:extLst>
              <a:ext uri="{FF2B5EF4-FFF2-40B4-BE49-F238E27FC236}">
                <a16:creationId xmlns:a16="http://schemas.microsoft.com/office/drawing/2014/main" id="{00000000-0008-0000-0300-000012000000}"/>
              </a:ext>
            </a:extLst>
          </xdr:cNvPr>
          <xdr:cNvGrpSpPr/>
        </xdr:nvGrpSpPr>
        <xdr:grpSpPr>
          <a:xfrm>
            <a:off x="9452114" y="3973996"/>
            <a:ext cx="549747" cy="145763"/>
            <a:chOff x="9452114" y="3973996"/>
            <a:chExt cx="549747" cy="145763"/>
          </a:xfrm>
        </xdr:grpSpPr>
        <xdr:cxnSp macro="">
          <xdr:nvCxnSpPr>
            <xdr:cNvPr id="267" name="Прямая со стрелкой 266">
              <a:extLst>
                <a:ext uri="{FF2B5EF4-FFF2-40B4-BE49-F238E27FC236}">
                  <a16:creationId xmlns:a16="http://schemas.microsoft.com/office/drawing/2014/main" id="{00000000-0008-0000-0300-00000B010000}"/>
                </a:ext>
              </a:extLst>
            </xdr:cNvPr>
            <xdr:cNvCxnSpPr>
              <a:endCxn id="285" idx="1"/>
            </xdr:cNvCxnSpPr>
          </xdr:nvCxnSpPr>
          <xdr:spPr>
            <a:xfrm>
              <a:off x="9836841" y="3973996"/>
              <a:ext cx="165020" cy="14576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00" name="Прямая соединительная линия 299">
              <a:extLst>
                <a:ext uri="{FF2B5EF4-FFF2-40B4-BE49-F238E27FC236}">
                  <a16:creationId xmlns:a16="http://schemas.microsoft.com/office/drawing/2014/main" id="{00000000-0008-0000-0300-00002C010000}"/>
                </a:ext>
              </a:extLst>
            </xdr:cNvPr>
            <xdr:cNvCxnSpPr/>
          </xdr:nvCxnSpPr>
          <xdr:spPr>
            <a:xfrm>
              <a:off x="9452114" y="3973996"/>
              <a:ext cx="401292" cy="1"/>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grpSp>
      <xdr:grpSp>
        <xdr:nvGrpSpPr>
          <xdr:cNvPr id="31" name="Группа 30">
            <a:extLst>
              <a:ext uri="{FF2B5EF4-FFF2-40B4-BE49-F238E27FC236}">
                <a16:creationId xmlns:a16="http://schemas.microsoft.com/office/drawing/2014/main" id="{00000000-0008-0000-0300-00001F000000}"/>
              </a:ext>
            </a:extLst>
          </xdr:cNvPr>
          <xdr:cNvGrpSpPr/>
        </xdr:nvGrpSpPr>
        <xdr:grpSpPr>
          <a:xfrm>
            <a:off x="9449411" y="4514850"/>
            <a:ext cx="542314" cy="157359"/>
            <a:chOff x="9449411" y="4514850"/>
            <a:chExt cx="542314" cy="157359"/>
          </a:xfrm>
        </xdr:grpSpPr>
        <xdr:cxnSp macro="">
          <xdr:nvCxnSpPr>
            <xdr:cNvPr id="258" name="Прямая со стрелкой 257">
              <a:extLst>
                <a:ext uri="{FF2B5EF4-FFF2-40B4-BE49-F238E27FC236}">
                  <a16:creationId xmlns:a16="http://schemas.microsoft.com/office/drawing/2014/main" id="{00000000-0008-0000-0300-000002010000}"/>
                </a:ext>
              </a:extLst>
            </xdr:cNvPr>
            <xdr:cNvCxnSpPr/>
          </xdr:nvCxnSpPr>
          <xdr:spPr>
            <a:xfrm flipH="1">
              <a:off x="9449411" y="4514850"/>
              <a:ext cx="56539" cy="157359"/>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59" name="Прямая соединительная линия 258">
              <a:extLst>
                <a:ext uri="{FF2B5EF4-FFF2-40B4-BE49-F238E27FC236}">
                  <a16:creationId xmlns:a16="http://schemas.microsoft.com/office/drawing/2014/main" id="{00000000-0008-0000-0300-000003010000}"/>
                </a:ext>
              </a:extLst>
            </xdr:cNvPr>
            <xdr:cNvCxnSpPr/>
          </xdr:nvCxnSpPr>
          <xdr:spPr>
            <a:xfrm>
              <a:off x="9486900" y="4524375"/>
              <a:ext cx="50482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grpSp>
      <xdr:cxnSp macro="">
        <xdr:nvCxnSpPr>
          <xdr:cNvPr id="264" name="Прямая со стрелкой 263">
            <a:extLst>
              <a:ext uri="{FF2B5EF4-FFF2-40B4-BE49-F238E27FC236}">
                <a16:creationId xmlns:a16="http://schemas.microsoft.com/office/drawing/2014/main" id="{00000000-0008-0000-0300-000008010000}"/>
              </a:ext>
            </a:extLst>
          </xdr:cNvPr>
          <xdr:cNvCxnSpPr/>
        </xdr:nvCxnSpPr>
        <xdr:spPr>
          <a:xfrm>
            <a:off x="12515850" y="4533900"/>
            <a:ext cx="95250" cy="14287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65" name="Прямая соединительная линия 264">
            <a:extLst>
              <a:ext uri="{FF2B5EF4-FFF2-40B4-BE49-F238E27FC236}">
                <a16:creationId xmlns:a16="http://schemas.microsoft.com/office/drawing/2014/main" id="{00000000-0008-0000-0300-000009010000}"/>
              </a:ext>
            </a:extLst>
          </xdr:cNvPr>
          <xdr:cNvCxnSpPr/>
        </xdr:nvCxnSpPr>
        <xdr:spPr>
          <a:xfrm>
            <a:off x="12153900" y="4533900"/>
            <a:ext cx="361950" cy="1"/>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22</xdr:col>
      <xdr:colOff>295275</xdr:colOff>
      <xdr:row>35</xdr:row>
      <xdr:rowOff>4057</xdr:rowOff>
    </xdr:from>
    <xdr:to>
      <xdr:col>39</xdr:col>
      <xdr:colOff>171451</xdr:colOff>
      <xdr:row>57</xdr:row>
      <xdr:rowOff>0</xdr:rowOff>
    </xdr:to>
    <xdr:grpSp>
      <xdr:nvGrpSpPr>
        <xdr:cNvPr id="85" name="Группа 84">
          <a:extLst>
            <a:ext uri="{FF2B5EF4-FFF2-40B4-BE49-F238E27FC236}">
              <a16:creationId xmlns:a16="http://schemas.microsoft.com/office/drawing/2014/main" id="{00000000-0008-0000-0300-000055000000}"/>
            </a:ext>
          </a:extLst>
        </xdr:cNvPr>
        <xdr:cNvGrpSpPr/>
      </xdr:nvGrpSpPr>
      <xdr:grpSpPr>
        <a:xfrm>
          <a:off x="8432682" y="6530446"/>
          <a:ext cx="5003213" cy="4064647"/>
          <a:chOff x="923925" y="6604882"/>
          <a:chExt cx="5029201" cy="4110743"/>
        </a:xfrm>
      </xdr:grpSpPr>
      <xdr:sp macro="" textlink="">
        <xdr:nvSpPr>
          <xdr:cNvPr id="400" name="Овал 399">
            <a:extLst>
              <a:ext uri="{FF2B5EF4-FFF2-40B4-BE49-F238E27FC236}">
                <a16:creationId xmlns:a16="http://schemas.microsoft.com/office/drawing/2014/main" id="{00000000-0008-0000-0300-000090010000}"/>
              </a:ext>
            </a:extLst>
          </xdr:cNvPr>
          <xdr:cNvSpPr/>
        </xdr:nvSpPr>
        <xdr:spPr>
          <a:xfrm>
            <a:off x="1076325" y="724852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sp macro="" textlink="">
        <xdr:nvSpPr>
          <xdr:cNvPr id="401" name="Овал 400">
            <a:extLst>
              <a:ext uri="{FF2B5EF4-FFF2-40B4-BE49-F238E27FC236}">
                <a16:creationId xmlns:a16="http://schemas.microsoft.com/office/drawing/2014/main" id="{00000000-0008-0000-0300-000091010000}"/>
              </a:ext>
            </a:extLst>
          </xdr:cNvPr>
          <xdr:cNvSpPr/>
        </xdr:nvSpPr>
        <xdr:spPr>
          <a:xfrm>
            <a:off x="1076325" y="10096500"/>
            <a:ext cx="152400"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xnSp macro="">
        <xdr:nvCxnSpPr>
          <xdr:cNvPr id="402" name="Прямая со стрелкой 401">
            <a:extLst>
              <a:ext uri="{FF2B5EF4-FFF2-40B4-BE49-F238E27FC236}">
                <a16:creationId xmlns:a16="http://schemas.microsoft.com/office/drawing/2014/main" id="{00000000-0008-0000-0300-000092010000}"/>
              </a:ext>
            </a:extLst>
          </xdr:cNvPr>
          <xdr:cNvCxnSpPr/>
        </xdr:nvCxnSpPr>
        <xdr:spPr>
          <a:xfrm>
            <a:off x="933450" y="6800850"/>
            <a:ext cx="0" cy="51435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03" name="Прямая со стрелкой 402">
            <a:extLst>
              <a:ext uri="{FF2B5EF4-FFF2-40B4-BE49-F238E27FC236}">
                <a16:creationId xmlns:a16="http://schemas.microsoft.com/office/drawing/2014/main" id="{00000000-0008-0000-0300-000093010000}"/>
              </a:ext>
            </a:extLst>
          </xdr:cNvPr>
          <xdr:cNvCxnSpPr/>
        </xdr:nvCxnSpPr>
        <xdr:spPr>
          <a:xfrm>
            <a:off x="923925" y="10182225"/>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404" name="Овал 403">
            <a:extLst>
              <a:ext uri="{FF2B5EF4-FFF2-40B4-BE49-F238E27FC236}">
                <a16:creationId xmlns:a16="http://schemas.microsoft.com/office/drawing/2014/main" id="{00000000-0008-0000-0300-000094010000}"/>
              </a:ext>
            </a:extLst>
          </xdr:cNvPr>
          <xdr:cNvSpPr/>
        </xdr:nvSpPr>
        <xdr:spPr>
          <a:xfrm>
            <a:off x="5619750" y="7239000"/>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sp macro="" textlink="">
        <xdr:nvSpPr>
          <xdr:cNvPr id="405" name="Овал 404">
            <a:extLst>
              <a:ext uri="{FF2B5EF4-FFF2-40B4-BE49-F238E27FC236}">
                <a16:creationId xmlns:a16="http://schemas.microsoft.com/office/drawing/2014/main" id="{00000000-0008-0000-0300-000095010000}"/>
              </a:ext>
            </a:extLst>
          </xdr:cNvPr>
          <xdr:cNvSpPr/>
        </xdr:nvSpPr>
        <xdr:spPr>
          <a:xfrm>
            <a:off x="5629275" y="10106025"/>
            <a:ext cx="152400"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xnSp macro="">
        <xdr:nvCxnSpPr>
          <xdr:cNvPr id="406" name="Прямая со стрелкой 405">
            <a:extLst>
              <a:ext uri="{FF2B5EF4-FFF2-40B4-BE49-F238E27FC236}">
                <a16:creationId xmlns:a16="http://schemas.microsoft.com/office/drawing/2014/main" id="{00000000-0008-0000-0300-000096010000}"/>
              </a:ext>
            </a:extLst>
          </xdr:cNvPr>
          <xdr:cNvCxnSpPr/>
        </xdr:nvCxnSpPr>
        <xdr:spPr>
          <a:xfrm>
            <a:off x="5943600" y="6810375"/>
            <a:ext cx="0" cy="51435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07" name="Прямая со стрелкой 406">
            <a:extLst>
              <a:ext uri="{FF2B5EF4-FFF2-40B4-BE49-F238E27FC236}">
                <a16:creationId xmlns:a16="http://schemas.microsoft.com/office/drawing/2014/main" id="{00000000-0008-0000-0300-000097010000}"/>
              </a:ext>
            </a:extLst>
          </xdr:cNvPr>
          <xdr:cNvCxnSpPr/>
        </xdr:nvCxnSpPr>
        <xdr:spPr>
          <a:xfrm>
            <a:off x="5953125" y="10191750"/>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08" name="Прямая со стрелкой 407">
            <a:extLst>
              <a:ext uri="{FF2B5EF4-FFF2-40B4-BE49-F238E27FC236}">
                <a16:creationId xmlns:a16="http://schemas.microsoft.com/office/drawing/2014/main" id="{00000000-0008-0000-0300-000098010000}"/>
              </a:ext>
            </a:extLst>
          </xdr:cNvPr>
          <xdr:cNvCxnSpPr/>
        </xdr:nvCxnSpPr>
        <xdr:spPr>
          <a:xfrm flipH="1" flipV="1">
            <a:off x="1076955" y="6604882"/>
            <a:ext cx="1637670" cy="4226"/>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09" name="Прямая со стрелкой 408">
            <a:extLst>
              <a:ext uri="{FF2B5EF4-FFF2-40B4-BE49-F238E27FC236}">
                <a16:creationId xmlns:a16="http://schemas.microsoft.com/office/drawing/2014/main" id="{00000000-0008-0000-0300-000099010000}"/>
              </a:ext>
            </a:extLst>
          </xdr:cNvPr>
          <xdr:cNvCxnSpPr/>
        </xdr:nvCxnSpPr>
        <xdr:spPr>
          <a:xfrm flipH="1" flipV="1">
            <a:off x="4136136" y="6608195"/>
            <a:ext cx="1637256" cy="4226"/>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10" name="Прямая со стрелкой 409">
            <a:extLst>
              <a:ext uri="{FF2B5EF4-FFF2-40B4-BE49-F238E27FC236}">
                <a16:creationId xmlns:a16="http://schemas.microsoft.com/office/drawing/2014/main" id="{00000000-0008-0000-0300-00009A010000}"/>
              </a:ext>
            </a:extLst>
          </xdr:cNvPr>
          <xdr:cNvCxnSpPr/>
        </xdr:nvCxnSpPr>
        <xdr:spPr>
          <a:xfrm flipH="1">
            <a:off x="3413263" y="6814776"/>
            <a:ext cx="12942" cy="3900849"/>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449" name="Овал 448">
            <a:extLst>
              <a:ext uri="{FF2B5EF4-FFF2-40B4-BE49-F238E27FC236}">
                <a16:creationId xmlns:a16="http://schemas.microsoft.com/office/drawing/2014/main" id="{00000000-0008-0000-0300-0000C1010000}"/>
              </a:ext>
            </a:extLst>
          </xdr:cNvPr>
          <xdr:cNvSpPr/>
        </xdr:nvSpPr>
        <xdr:spPr>
          <a:xfrm>
            <a:off x="5629275" y="858202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sp macro="" textlink="">
        <xdr:nvSpPr>
          <xdr:cNvPr id="450" name="Овал 449">
            <a:extLst>
              <a:ext uri="{FF2B5EF4-FFF2-40B4-BE49-F238E27FC236}">
                <a16:creationId xmlns:a16="http://schemas.microsoft.com/office/drawing/2014/main" id="{00000000-0008-0000-0300-0000C2010000}"/>
              </a:ext>
            </a:extLst>
          </xdr:cNvPr>
          <xdr:cNvSpPr/>
        </xdr:nvSpPr>
        <xdr:spPr>
          <a:xfrm>
            <a:off x="1066800" y="858202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xnSp macro="">
        <xdr:nvCxnSpPr>
          <xdr:cNvPr id="454" name="Прямая со стрелкой 453">
            <a:extLst>
              <a:ext uri="{FF2B5EF4-FFF2-40B4-BE49-F238E27FC236}">
                <a16:creationId xmlns:a16="http://schemas.microsoft.com/office/drawing/2014/main" id="{00000000-0008-0000-0300-0000C6010000}"/>
              </a:ext>
            </a:extLst>
          </xdr:cNvPr>
          <xdr:cNvCxnSpPr/>
        </xdr:nvCxnSpPr>
        <xdr:spPr>
          <a:xfrm>
            <a:off x="5943600" y="8667750"/>
            <a:ext cx="9526" cy="148590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55" name="Прямая со стрелкой 454">
            <a:extLst>
              <a:ext uri="{FF2B5EF4-FFF2-40B4-BE49-F238E27FC236}">
                <a16:creationId xmlns:a16="http://schemas.microsoft.com/office/drawing/2014/main" id="{00000000-0008-0000-0300-0000C7010000}"/>
              </a:ext>
            </a:extLst>
          </xdr:cNvPr>
          <xdr:cNvCxnSpPr/>
        </xdr:nvCxnSpPr>
        <xdr:spPr>
          <a:xfrm>
            <a:off x="923925" y="8667750"/>
            <a:ext cx="9526" cy="1495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43</xdr:col>
      <xdr:colOff>285750</xdr:colOff>
      <xdr:row>35</xdr:row>
      <xdr:rowOff>4057</xdr:rowOff>
    </xdr:from>
    <xdr:to>
      <xdr:col>60</xdr:col>
      <xdr:colOff>161926</xdr:colOff>
      <xdr:row>58</xdr:row>
      <xdr:rowOff>74557</xdr:rowOff>
    </xdr:to>
    <xdr:grpSp>
      <xdr:nvGrpSpPr>
        <xdr:cNvPr id="84" name="Группа 83">
          <a:extLst>
            <a:ext uri="{FF2B5EF4-FFF2-40B4-BE49-F238E27FC236}">
              <a16:creationId xmlns:a16="http://schemas.microsoft.com/office/drawing/2014/main" id="{00000000-0008-0000-0300-000054000000}"/>
            </a:ext>
          </a:extLst>
        </xdr:cNvPr>
        <xdr:cNvGrpSpPr/>
      </xdr:nvGrpSpPr>
      <xdr:grpSpPr>
        <a:xfrm>
          <a:off x="15937324" y="6530446"/>
          <a:ext cx="5003213" cy="4327352"/>
          <a:chOff x="8524875" y="6604882"/>
          <a:chExt cx="5029201" cy="4375800"/>
        </a:xfrm>
      </xdr:grpSpPr>
      <xdr:grpSp>
        <xdr:nvGrpSpPr>
          <xdr:cNvPr id="411" name="Группа 410">
            <a:extLst>
              <a:ext uri="{FF2B5EF4-FFF2-40B4-BE49-F238E27FC236}">
                <a16:creationId xmlns:a16="http://schemas.microsoft.com/office/drawing/2014/main" id="{00000000-0008-0000-0300-00009B010000}"/>
              </a:ext>
            </a:extLst>
          </xdr:cNvPr>
          <xdr:cNvGrpSpPr/>
        </xdr:nvGrpSpPr>
        <xdr:grpSpPr>
          <a:xfrm>
            <a:off x="8534400" y="6604882"/>
            <a:ext cx="5019675" cy="4375800"/>
            <a:chOff x="8534400" y="956557"/>
            <a:chExt cx="5019675" cy="4375800"/>
          </a:xfrm>
        </xdr:grpSpPr>
        <xdr:sp macro="" textlink="">
          <xdr:nvSpPr>
            <xdr:cNvPr id="412" name="Овал 411">
              <a:extLst>
                <a:ext uri="{FF2B5EF4-FFF2-40B4-BE49-F238E27FC236}">
                  <a16:creationId xmlns:a16="http://schemas.microsoft.com/office/drawing/2014/main" id="{00000000-0008-0000-0300-00009C010000}"/>
                </a:ext>
              </a:extLst>
            </xdr:cNvPr>
            <xdr:cNvSpPr/>
          </xdr:nvSpPr>
          <xdr:spPr>
            <a:xfrm>
              <a:off x="8686800" y="1600200"/>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sp macro="" textlink="">
          <xdr:nvSpPr>
            <xdr:cNvPr id="413" name="Овал 412">
              <a:extLst>
                <a:ext uri="{FF2B5EF4-FFF2-40B4-BE49-F238E27FC236}">
                  <a16:creationId xmlns:a16="http://schemas.microsoft.com/office/drawing/2014/main" id="{00000000-0008-0000-0300-00009D010000}"/>
                </a:ext>
              </a:extLst>
            </xdr:cNvPr>
            <xdr:cNvSpPr/>
          </xdr:nvSpPr>
          <xdr:spPr>
            <a:xfrm>
              <a:off x="8686800" y="4448175"/>
              <a:ext cx="152400"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xnSp macro="">
          <xdr:nvCxnSpPr>
            <xdr:cNvPr id="414" name="Прямая со стрелкой 413">
              <a:extLst>
                <a:ext uri="{FF2B5EF4-FFF2-40B4-BE49-F238E27FC236}">
                  <a16:creationId xmlns:a16="http://schemas.microsoft.com/office/drawing/2014/main" id="{00000000-0008-0000-0300-00009E010000}"/>
                </a:ext>
              </a:extLst>
            </xdr:cNvPr>
            <xdr:cNvCxnSpPr/>
          </xdr:nvCxnSpPr>
          <xdr:spPr>
            <a:xfrm>
              <a:off x="8543925" y="1152525"/>
              <a:ext cx="0" cy="51435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15" name="Прямая со стрелкой 414">
              <a:extLst>
                <a:ext uri="{FF2B5EF4-FFF2-40B4-BE49-F238E27FC236}">
                  <a16:creationId xmlns:a16="http://schemas.microsoft.com/office/drawing/2014/main" id="{00000000-0008-0000-0300-00009F010000}"/>
                </a:ext>
              </a:extLst>
            </xdr:cNvPr>
            <xdr:cNvCxnSpPr/>
          </xdr:nvCxnSpPr>
          <xdr:spPr>
            <a:xfrm>
              <a:off x="8534400" y="4533900"/>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416" name="Овал 415">
              <a:extLst>
                <a:ext uri="{FF2B5EF4-FFF2-40B4-BE49-F238E27FC236}">
                  <a16:creationId xmlns:a16="http://schemas.microsoft.com/office/drawing/2014/main" id="{00000000-0008-0000-0300-0000A0010000}"/>
                </a:ext>
              </a:extLst>
            </xdr:cNvPr>
            <xdr:cNvSpPr/>
          </xdr:nvSpPr>
          <xdr:spPr>
            <a:xfrm>
              <a:off x="13230225" y="159067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sp macro="" textlink="">
          <xdr:nvSpPr>
            <xdr:cNvPr id="417" name="Овал 416">
              <a:extLst>
                <a:ext uri="{FF2B5EF4-FFF2-40B4-BE49-F238E27FC236}">
                  <a16:creationId xmlns:a16="http://schemas.microsoft.com/office/drawing/2014/main" id="{00000000-0008-0000-0300-0000A1010000}"/>
                </a:ext>
              </a:extLst>
            </xdr:cNvPr>
            <xdr:cNvSpPr/>
          </xdr:nvSpPr>
          <xdr:spPr>
            <a:xfrm>
              <a:off x="13239750" y="4457700"/>
              <a:ext cx="152400"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xnSp macro="">
          <xdr:nvCxnSpPr>
            <xdr:cNvPr id="418" name="Прямая со стрелкой 417">
              <a:extLst>
                <a:ext uri="{FF2B5EF4-FFF2-40B4-BE49-F238E27FC236}">
                  <a16:creationId xmlns:a16="http://schemas.microsoft.com/office/drawing/2014/main" id="{00000000-0008-0000-0300-0000A2010000}"/>
                </a:ext>
              </a:extLst>
            </xdr:cNvPr>
            <xdr:cNvCxnSpPr/>
          </xdr:nvCxnSpPr>
          <xdr:spPr>
            <a:xfrm>
              <a:off x="13554075" y="1162050"/>
              <a:ext cx="0" cy="51435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19" name="Прямая со стрелкой 418">
              <a:extLst>
                <a:ext uri="{FF2B5EF4-FFF2-40B4-BE49-F238E27FC236}">
                  <a16:creationId xmlns:a16="http://schemas.microsoft.com/office/drawing/2014/main" id="{00000000-0008-0000-0300-0000A3010000}"/>
                </a:ext>
              </a:extLst>
            </xdr:cNvPr>
            <xdr:cNvCxnSpPr/>
          </xdr:nvCxnSpPr>
          <xdr:spPr>
            <a:xfrm>
              <a:off x="13544550" y="4543425"/>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420" name="Овал 419">
              <a:extLst>
                <a:ext uri="{FF2B5EF4-FFF2-40B4-BE49-F238E27FC236}">
                  <a16:creationId xmlns:a16="http://schemas.microsoft.com/office/drawing/2014/main" id="{00000000-0008-0000-0300-0000A4010000}"/>
                </a:ext>
              </a:extLst>
            </xdr:cNvPr>
            <xdr:cNvSpPr/>
          </xdr:nvSpPr>
          <xdr:spPr>
            <a:xfrm>
              <a:off x="12012216" y="4108847"/>
              <a:ext cx="76200" cy="85725"/>
            </a:xfrm>
            <a:prstGeom prst="ellipse">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sp macro="" textlink="">
          <xdr:nvSpPr>
            <xdr:cNvPr id="421" name="Овал 420">
              <a:extLst>
                <a:ext uri="{FF2B5EF4-FFF2-40B4-BE49-F238E27FC236}">
                  <a16:creationId xmlns:a16="http://schemas.microsoft.com/office/drawing/2014/main" id="{00000000-0008-0000-0300-0000A5010000}"/>
                </a:ext>
              </a:extLst>
            </xdr:cNvPr>
            <xdr:cNvSpPr/>
          </xdr:nvSpPr>
          <xdr:spPr>
            <a:xfrm>
              <a:off x="12003039" y="4680857"/>
              <a:ext cx="82826" cy="87796"/>
            </a:xfrm>
            <a:prstGeom prst="ellipse">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xnSp macro="">
          <xdr:nvCxnSpPr>
            <xdr:cNvPr id="422" name="Прямая со стрелкой 421">
              <a:extLst>
                <a:ext uri="{FF2B5EF4-FFF2-40B4-BE49-F238E27FC236}">
                  <a16:creationId xmlns:a16="http://schemas.microsoft.com/office/drawing/2014/main" id="{00000000-0008-0000-0300-0000A6010000}"/>
                </a:ext>
              </a:extLst>
            </xdr:cNvPr>
            <xdr:cNvCxnSpPr/>
          </xdr:nvCxnSpPr>
          <xdr:spPr>
            <a:xfrm>
              <a:off x="11619310" y="4146947"/>
              <a:ext cx="0" cy="567928"/>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23" name="Прямая со стрелкой 422">
              <a:extLst>
                <a:ext uri="{FF2B5EF4-FFF2-40B4-BE49-F238E27FC236}">
                  <a16:creationId xmlns:a16="http://schemas.microsoft.com/office/drawing/2014/main" id="{00000000-0008-0000-0300-0000A7010000}"/>
                </a:ext>
              </a:extLst>
            </xdr:cNvPr>
            <xdr:cNvCxnSpPr/>
          </xdr:nvCxnSpPr>
          <xdr:spPr>
            <a:xfrm>
              <a:off x="11619970" y="4723929"/>
              <a:ext cx="0" cy="340829"/>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24" name="Прямая со стрелкой 423">
              <a:extLst>
                <a:ext uri="{FF2B5EF4-FFF2-40B4-BE49-F238E27FC236}">
                  <a16:creationId xmlns:a16="http://schemas.microsoft.com/office/drawing/2014/main" id="{00000000-0008-0000-0300-0000A8010000}"/>
                </a:ext>
              </a:extLst>
            </xdr:cNvPr>
            <xdr:cNvCxnSpPr/>
          </xdr:nvCxnSpPr>
          <xdr:spPr>
            <a:xfrm flipH="1">
              <a:off x="11757463" y="5301854"/>
              <a:ext cx="282876" cy="61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425" name="Овал 424">
              <a:extLst>
                <a:ext uri="{FF2B5EF4-FFF2-40B4-BE49-F238E27FC236}">
                  <a16:creationId xmlns:a16="http://schemas.microsoft.com/office/drawing/2014/main" id="{00000000-0008-0000-0300-0000A9010000}"/>
                </a:ext>
              </a:extLst>
            </xdr:cNvPr>
            <xdr:cNvSpPr/>
          </xdr:nvSpPr>
          <xdr:spPr>
            <a:xfrm>
              <a:off x="9990001" y="4107205"/>
              <a:ext cx="78499" cy="85725"/>
            </a:xfrm>
            <a:prstGeom prst="ellipse">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sp macro="" textlink="">
          <xdr:nvSpPr>
            <xdr:cNvPr id="426" name="Овал 425">
              <a:extLst>
                <a:ext uri="{FF2B5EF4-FFF2-40B4-BE49-F238E27FC236}">
                  <a16:creationId xmlns:a16="http://schemas.microsoft.com/office/drawing/2014/main" id="{00000000-0008-0000-0300-0000AA010000}"/>
                </a:ext>
              </a:extLst>
            </xdr:cNvPr>
            <xdr:cNvSpPr/>
          </xdr:nvSpPr>
          <xdr:spPr>
            <a:xfrm>
              <a:off x="9987585" y="4674811"/>
              <a:ext cx="78499" cy="85725"/>
            </a:xfrm>
            <a:prstGeom prst="ellipse">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xnSp macro="">
          <xdr:nvCxnSpPr>
            <xdr:cNvPr id="427" name="Прямая со стрелкой 426">
              <a:extLst>
                <a:ext uri="{FF2B5EF4-FFF2-40B4-BE49-F238E27FC236}">
                  <a16:creationId xmlns:a16="http://schemas.microsoft.com/office/drawing/2014/main" id="{00000000-0008-0000-0300-0000AB010000}"/>
                </a:ext>
              </a:extLst>
            </xdr:cNvPr>
            <xdr:cNvCxnSpPr/>
          </xdr:nvCxnSpPr>
          <xdr:spPr>
            <a:xfrm>
              <a:off x="10469288" y="4719145"/>
              <a:ext cx="0" cy="344542"/>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28" name="Прямая со стрелкой 427">
              <a:extLst>
                <a:ext uri="{FF2B5EF4-FFF2-40B4-BE49-F238E27FC236}">
                  <a16:creationId xmlns:a16="http://schemas.microsoft.com/office/drawing/2014/main" id="{00000000-0008-0000-0300-0000AC010000}"/>
                </a:ext>
              </a:extLst>
            </xdr:cNvPr>
            <xdr:cNvCxnSpPr/>
          </xdr:nvCxnSpPr>
          <xdr:spPr>
            <a:xfrm flipH="1">
              <a:off x="10037708" y="5331742"/>
              <a:ext cx="281562" cy="61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29" name="Прямая со стрелкой 428">
              <a:extLst>
                <a:ext uri="{FF2B5EF4-FFF2-40B4-BE49-F238E27FC236}">
                  <a16:creationId xmlns:a16="http://schemas.microsoft.com/office/drawing/2014/main" id="{00000000-0008-0000-0300-0000AD010000}"/>
                </a:ext>
              </a:extLst>
            </xdr:cNvPr>
            <xdr:cNvCxnSpPr/>
          </xdr:nvCxnSpPr>
          <xdr:spPr>
            <a:xfrm>
              <a:off x="10468550" y="4142349"/>
              <a:ext cx="0" cy="567928"/>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430" name="Овал 429">
              <a:extLst>
                <a:ext uri="{FF2B5EF4-FFF2-40B4-BE49-F238E27FC236}">
                  <a16:creationId xmlns:a16="http://schemas.microsoft.com/office/drawing/2014/main" id="{00000000-0008-0000-0300-0000AE010000}"/>
                </a:ext>
              </a:extLst>
            </xdr:cNvPr>
            <xdr:cNvSpPr/>
          </xdr:nvSpPr>
          <xdr:spPr>
            <a:xfrm>
              <a:off x="12596191" y="4680089"/>
              <a:ext cx="77857" cy="85725"/>
            </a:xfrm>
            <a:prstGeom prst="ellipse">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sp macro="" textlink="">
          <xdr:nvSpPr>
            <xdr:cNvPr id="431" name="Овал 430">
              <a:extLst>
                <a:ext uri="{FF2B5EF4-FFF2-40B4-BE49-F238E27FC236}">
                  <a16:creationId xmlns:a16="http://schemas.microsoft.com/office/drawing/2014/main" id="{00000000-0008-0000-0300-0000AF010000}"/>
                </a:ext>
              </a:extLst>
            </xdr:cNvPr>
            <xdr:cNvSpPr/>
          </xdr:nvSpPr>
          <xdr:spPr>
            <a:xfrm>
              <a:off x="9418983" y="4682987"/>
              <a:ext cx="70817" cy="85725"/>
            </a:xfrm>
            <a:prstGeom prst="ellipse">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xnSp macro="">
          <xdr:nvCxnSpPr>
            <xdr:cNvPr id="432" name="Прямая со стрелкой 431">
              <a:extLst>
                <a:ext uri="{FF2B5EF4-FFF2-40B4-BE49-F238E27FC236}">
                  <a16:creationId xmlns:a16="http://schemas.microsoft.com/office/drawing/2014/main" id="{00000000-0008-0000-0300-0000B0010000}"/>
                </a:ext>
              </a:extLst>
            </xdr:cNvPr>
            <xdr:cNvCxnSpPr/>
          </xdr:nvCxnSpPr>
          <xdr:spPr>
            <a:xfrm flipH="1" flipV="1">
              <a:off x="12031533" y="5304511"/>
              <a:ext cx="589092" cy="2571"/>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33" name="Прямая со стрелкой 432">
              <a:extLst>
                <a:ext uri="{FF2B5EF4-FFF2-40B4-BE49-F238E27FC236}">
                  <a16:creationId xmlns:a16="http://schemas.microsoft.com/office/drawing/2014/main" id="{00000000-0008-0000-0300-0000B1010000}"/>
                </a:ext>
              </a:extLst>
            </xdr:cNvPr>
            <xdr:cNvCxnSpPr/>
          </xdr:nvCxnSpPr>
          <xdr:spPr>
            <a:xfrm flipH="1" flipV="1">
              <a:off x="9441147" y="5329359"/>
              <a:ext cx="586193" cy="2571"/>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34" name="Прямая со стрелкой 433">
              <a:extLst>
                <a:ext uri="{FF2B5EF4-FFF2-40B4-BE49-F238E27FC236}">
                  <a16:creationId xmlns:a16="http://schemas.microsoft.com/office/drawing/2014/main" id="{00000000-0008-0000-0300-0000B2010000}"/>
                </a:ext>
              </a:extLst>
            </xdr:cNvPr>
            <xdr:cNvCxnSpPr/>
          </xdr:nvCxnSpPr>
          <xdr:spPr>
            <a:xfrm flipH="1" flipV="1">
              <a:off x="8687430" y="956557"/>
              <a:ext cx="1637670" cy="4226"/>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35" name="Прямая со стрелкой 434">
              <a:extLst>
                <a:ext uri="{FF2B5EF4-FFF2-40B4-BE49-F238E27FC236}">
                  <a16:creationId xmlns:a16="http://schemas.microsoft.com/office/drawing/2014/main" id="{00000000-0008-0000-0300-0000B3010000}"/>
                </a:ext>
              </a:extLst>
            </xdr:cNvPr>
            <xdr:cNvCxnSpPr/>
          </xdr:nvCxnSpPr>
          <xdr:spPr>
            <a:xfrm flipH="1" flipV="1">
              <a:off x="11746611" y="959870"/>
              <a:ext cx="1637256" cy="4226"/>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36" name="Прямая со стрелкой 435">
              <a:extLst>
                <a:ext uri="{FF2B5EF4-FFF2-40B4-BE49-F238E27FC236}">
                  <a16:creationId xmlns:a16="http://schemas.microsoft.com/office/drawing/2014/main" id="{00000000-0008-0000-0300-0000B4010000}"/>
                </a:ext>
              </a:extLst>
            </xdr:cNvPr>
            <xdr:cNvCxnSpPr/>
          </xdr:nvCxnSpPr>
          <xdr:spPr>
            <a:xfrm flipH="1">
              <a:off x="11023738" y="1166451"/>
              <a:ext cx="12942" cy="3900849"/>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grpSp>
          <xdr:nvGrpSpPr>
            <xdr:cNvPr id="437" name="Группа 436">
              <a:extLst>
                <a:ext uri="{FF2B5EF4-FFF2-40B4-BE49-F238E27FC236}">
                  <a16:creationId xmlns:a16="http://schemas.microsoft.com/office/drawing/2014/main" id="{00000000-0008-0000-0300-0000B5010000}"/>
                </a:ext>
              </a:extLst>
            </xdr:cNvPr>
            <xdr:cNvGrpSpPr/>
          </xdr:nvGrpSpPr>
          <xdr:grpSpPr>
            <a:xfrm>
              <a:off x="12106135" y="3943350"/>
              <a:ext cx="540580" cy="159001"/>
              <a:chOff x="4451348" y="3768587"/>
              <a:chExt cx="543065" cy="159001"/>
            </a:xfrm>
          </xdr:grpSpPr>
          <xdr:cxnSp macro="">
            <xdr:nvCxnSpPr>
              <xdr:cNvPr id="446" name="Прямая со стрелкой 445">
                <a:extLst>
                  <a:ext uri="{FF2B5EF4-FFF2-40B4-BE49-F238E27FC236}">
                    <a16:creationId xmlns:a16="http://schemas.microsoft.com/office/drawing/2014/main" id="{00000000-0008-0000-0300-0000BE010000}"/>
                  </a:ext>
                </a:extLst>
              </xdr:cNvPr>
              <xdr:cNvCxnSpPr>
                <a:endCxn id="420" idx="7"/>
              </xdr:cNvCxnSpPr>
            </xdr:nvCxnSpPr>
            <xdr:spPr>
              <a:xfrm flipH="1">
                <a:off x="4451348" y="3776870"/>
                <a:ext cx="145500" cy="150718"/>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47" name="Прямая соединительная линия 446">
                <a:extLst>
                  <a:ext uri="{FF2B5EF4-FFF2-40B4-BE49-F238E27FC236}">
                    <a16:creationId xmlns:a16="http://schemas.microsoft.com/office/drawing/2014/main" id="{00000000-0008-0000-0300-0000BF010000}"/>
                  </a:ext>
                </a:extLst>
              </xdr:cNvPr>
              <xdr:cNvCxnSpPr/>
            </xdr:nvCxnSpPr>
            <xdr:spPr>
              <a:xfrm>
                <a:off x="4596848" y="3768587"/>
                <a:ext cx="397565" cy="1"/>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grpSp>
        <xdr:grpSp>
          <xdr:nvGrpSpPr>
            <xdr:cNvPr id="438" name="Группа 437">
              <a:extLst>
                <a:ext uri="{FF2B5EF4-FFF2-40B4-BE49-F238E27FC236}">
                  <a16:creationId xmlns:a16="http://schemas.microsoft.com/office/drawing/2014/main" id="{00000000-0008-0000-0300-0000B6010000}"/>
                </a:ext>
              </a:extLst>
            </xdr:cNvPr>
            <xdr:cNvGrpSpPr/>
          </xdr:nvGrpSpPr>
          <xdr:grpSpPr>
            <a:xfrm>
              <a:off x="9452114" y="3973996"/>
              <a:ext cx="549747" cy="145763"/>
              <a:chOff x="9452114" y="3973996"/>
              <a:chExt cx="549747" cy="145763"/>
            </a:xfrm>
          </xdr:grpSpPr>
          <xdr:cxnSp macro="">
            <xdr:nvCxnSpPr>
              <xdr:cNvPr id="444" name="Прямая со стрелкой 443">
                <a:extLst>
                  <a:ext uri="{FF2B5EF4-FFF2-40B4-BE49-F238E27FC236}">
                    <a16:creationId xmlns:a16="http://schemas.microsoft.com/office/drawing/2014/main" id="{00000000-0008-0000-0300-0000BC010000}"/>
                  </a:ext>
                </a:extLst>
              </xdr:cNvPr>
              <xdr:cNvCxnSpPr>
                <a:endCxn id="425" idx="1"/>
              </xdr:cNvCxnSpPr>
            </xdr:nvCxnSpPr>
            <xdr:spPr>
              <a:xfrm>
                <a:off x="9836841" y="3973996"/>
                <a:ext cx="165020" cy="14576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45" name="Прямая соединительная линия 444">
                <a:extLst>
                  <a:ext uri="{FF2B5EF4-FFF2-40B4-BE49-F238E27FC236}">
                    <a16:creationId xmlns:a16="http://schemas.microsoft.com/office/drawing/2014/main" id="{00000000-0008-0000-0300-0000BD010000}"/>
                  </a:ext>
                </a:extLst>
              </xdr:cNvPr>
              <xdr:cNvCxnSpPr/>
            </xdr:nvCxnSpPr>
            <xdr:spPr>
              <a:xfrm>
                <a:off x="9452114" y="3973996"/>
                <a:ext cx="401292" cy="1"/>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grpSp>
        <xdr:grpSp>
          <xdr:nvGrpSpPr>
            <xdr:cNvPr id="439" name="Группа 438">
              <a:extLst>
                <a:ext uri="{FF2B5EF4-FFF2-40B4-BE49-F238E27FC236}">
                  <a16:creationId xmlns:a16="http://schemas.microsoft.com/office/drawing/2014/main" id="{00000000-0008-0000-0300-0000B7010000}"/>
                </a:ext>
              </a:extLst>
            </xdr:cNvPr>
            <xdr:cNvGrpSpPr/>
          </xdr:nvGrpSpPr>
          <xdr:grpSpPr>
            <a:xfrm>
              <a:off x="9449411" y="4514850"/>
              <a:ext cx="542314" cy="157359"/>
              <a:chOff x="9449411" y="4514850"/>
              <a:chExt cx="542314" cy="157359"/>
            </a:xfrm>
          </xdr:grpSpPr>
          <xdr:cxnSp macro="">
            <xdr:nvCxnSpPr>
              <xdr:cNvPr id="442" name="Прямая со стрелкой 441">
                <a:extLst>
                  <a:ext uri="{FF2B5EF4-FFF2-40B4-BE49-F238E27FC236}">
                    <a16:creationId xmlns:a16="http://schemas.microsoft.com/office/drawing/2014/main" id="{00000000-0008-0000-0300-0000BA010000}"/>
                  </a:ext>
                </a:extLst>
              </xdr:cNvPr>
              <xdr:cNvCxnSpPr/>
            </xdr:nvCxnSpPr>
            <xdr:spPr>
              <a:xfrm flipH="1">
                <a:off x="9449411" y="4514850"/>
                <a:ext cx="56539" cy="157359"/>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43" name="Прямая соединительная линия 442">
                <a:extLst>
                  <a:ext uri="{FF2B5EF4-FFF2-40B4-BE49-F238E27FC236}">
                    <a16:creationId xmlns:a16="http://schemas.microsoft.com/office/drawing/2014/main" id="{00000000-0008-0000-0300-0000BB010000}"/>
                  </a:ext>
                </a:extLst>
              </xdr:cNvPr>
              <xdr:cNvCxnSpPr/>
            </xdr:nvCxnSpPr>
            <xdr:spPr>
              <a:xfrm>
                <a:off x="9486900" y="4524375"/>
                <a:ext cx="50482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grpSp>
        <xdr:cxnSp macro="">
          <xdr:nvCxnSpPr>
            <xdr:cNvPr id="440" name="Прямая со стрелкой 439">
              <a:extLst>
                <a:ext uri="{FF2B5EF4-FFF2-40B4-BE49-F238E27FC236}">
                  <a16:creationId xmlns:a16="http://schemas.microsoft.com/office/drawing/2014/main" id="{00000000-0008-0000-0300-0000B8010000}"/>
                </a:ext>
              </a:extLst>
            </xdr:cNvPr>
            <xdr:cNvCxnSpPr/>
          </xdr:nvCxnSpPr>
          <xdr:spPr>
            <a:xfrm>
              <a:off x="12515850" y="4533900"/>
              <a:ext cx="95250" cy="14287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41" name="Прямая соединительная линия 440">
              <a:extLst>
                <a:ext uri="{FF2B5EF4-FFF2-40B4-BE49-F238E27FC236}">
                  <a16:creationId xmlns:a16="http://schemas.microsoft.com/office/drawing/2014/main" id="{00000000-0008-0000-0300-0000B9010000}"/>
                </a:ext>
              </a:extLst>
            </xdr:cNvPr>
            <xdr:cNvCxnSpPr/>
          </xdr:nvCxnSpPr>
          <xdr:spPr>
            <a:xfrm>
              <a:off x="12153900" y="4533900"/>
              <a:ext cx="361950" cy="1"/>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451" name="Овал 450">
            <a:extLst>
              <a:ext uri="{FF2B5EF4-FFF2-40B4-BE49-F238E27FC236}">
                <a16:creationId xmlns:a16="http://schemas.microsoft.com/office/drawing/2014/main" id="{00000000-0008-0000-0300-0000C3010000}"/>
              </a:ext>
            </a:extLst>
          </xdr:cNvPr>
          <xdr:cNvSpPr/>
        </xdr:nvSpPr>
        <xdr:spPr>
          <a:xfrm>
            <a:off x="8667750" y="858202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sp macro="" textlink="">
        <xdr:nvSpPr>
          <xdr:cNvPr id="452" name="Овал 451">
            <a:extLst>
              <a:ext uri="{FF2B5EF4-FFF2-40B4-BE49-F238E27FC236}">
                <a16:creationId xmlns:a16="http://schemas.microsoft.com/office/drawing/2014/main" id="{00000000-0008-0000-0300-0000C4010000}"/>
              </a:ext>
            </a:extLst>
          </xdr:cNvPr>
          <xdr:cNvSpPr/>
        </xdr:nvSpPr>
        <xdr:spPr>
          <a:xfrm>
            <a:off x="13230225" y="8572500"/>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xnSp macro="">
        <xdr:nvCxnSpPr>
          <xdr:cNvPr id="457" name="Прямая со стрелкой 456">
            <a:extLst>
              <a:ext uri="{FF2B5EF4-FFF2-40B4-BE49-F238E27FC236}">
                <a16:creationId xmlns:a16="http://schemas.microsoft.com/office/drawing/2014/main" id="{00000000-0008-0000-0300-0000C9010000}"/>
              </a:ext>
            </a:extLst>
          </xdr:cNvPr>
          <xdr:cNvCxnSpPr/>
        </xdr:nvCxnSpPr>
        <xdr:spPr>
          <a:xfrm>
            <a:off x="13544550" y="8677275"/>
            <a:ext cx="9526" cy="148590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58" name="Прямая со стрелкой 457">
            <a:extLst>
              <a:ext uri="{FF2B5EF4-FFF2-40B4-BE49-F238E27FC236}">
                <a16:creationId xmlns:a16="http://schemas.microsoft.com/office/drawing/2014/main" id="{00000000-0008-0000-0300-0000CA010000}"/>
              </a:ext>
            </a:extLst>
          </xdr:cNvPr>
          <xdr:cNvCxnSpPr/>
        </xdr:nvCxnSpPr>
        <xdr:spPr>
          <a:xfrm>
            <a:off x="8524875" y="8667750"/>
            <a:ext cx="9526" cy="148590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23</xdr:col>
      <xdr:colOff>0</xdr:colOff>
      <xdr:row>68</xdr:row>
      <xdr:rowOff>114300</xdr:rowOff>
    </xdr:from>
    <xdr:to>
      <xdr:col>24</xdr:col>
      <xdr:colOff>9525</xdr:colOff>
      <xdr:row>69</xdr:row>
      <xdr:rowOff>85725</xdr:rowOff>
    </xdr:to>
    <xdr:sp macro="" textlink="">
      <xdr:nvSpPr>
        <xdr:cNvPr id="462" name="Овал 461">
          <a:extLst>
            <a:ext uri="{FF2B5EF4-FFF2-40B4-BE49-F238E27FC236}">
              <a16:creationId xmlns:a16="http://schemas.microsoft.com/office/drawing/2014/main" id="{00000000-0008-0000-0300-0000CE010000}"/>
            </a:ext>
          </a:extLst>
        </xdr:cNvPr>
        <xdr:cNvSpPr/>
      </xdr:nvSpPr>
      <xdr:spPr>
        <a:xfrm>
          <a:off x="1076325" y="12896850"/>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23</xdr:col>
      <xdr:colOff>0</xdr:colOff>
      <xdr:row>83</xdr:row>
      <xdr:rowOff>104775</xdr:rowOff>
    </xdr:from>
    <xdr:to>
      <xdr:col>24</xdr:col>
      <xdr:colOff>0</xdr:colOff>
      <xdr:row>84</xdr:row>
      <xdr:rowOff>76200</xdr:rowOff>
    </xdr:to>
    <xdr:sp macro="" textlink="">
      <xdr:nvSpPr>
        <xdr:cNvPr id="463" name="Овал 462">
          <a:extLst>
            <a:ext uri="{FF2B5EF4-FFF2-40B4-BE49-F238E27FC236}">
              <a16:creationId xmlns:a16="http://schemas.microsoft.com/office/drawing/2014/main" id="{00000000-0008-0000-0300-0000CF010000}"/>
            </a:ext>
          </a:extLst>
        </xdr:cNvPr>
        <xdr:cNvSpPr/>
      </xdr:nvSpPr>
      <xdr:spPr>
        <a:xfrm>
          <a:off x="1076325" y="15744825"/>
          <a:ext cx="152400"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22</xdr:col>
      <xdr:colOff>304800</xdr:colOff>
      <xdr:row>66</xdr:row>
      <xdr:rowOff>0</xdr:rowOff>
    </xdr:from>
    <xdr:to>
      <xdr:col>22</xdr:col>
      <xdr:colOff>304800</xdr:colOff>
      <xdr:row>68</xdr:row>
      <xdr:rowOff>180975</xdr:rowOff>
    </xdr:to>
    <xdr:cxnSp macro="">
      <xdr:nvCxnSpPr>
        <xdr:cNvPr id="464" name="Прямая со стрелкой 463">
          <a:extLst>
            <a:ext uri="{FF2B5EF4-FFF2-40B4-BE49-F238E27FC236}">
              <a16:creationId xmlns:a16="http://schemas.microsoft.com/office/drawing/2014/main" id="{00000000-0008-0000-0300-0000D0010000}"/>
            </a:ext>
          </a:extLst>
        </xdr:cNvPr>
        <xdr:cNvCxnSpPr/>
      </xdr:nvCxnSpPr>
      <xdr:spPr>
        <a:xfrm>
          <a:off x="933450" y="12449175"/>
          <a:ext cx="0" cy="51435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295275</xdr:colOff>
      <xdr:row>84</xdr:row>
      <xdr:rowOff>0</xdr:rowOff>
    </xdr:from>
    <xdr:to>
      <xdr:col>22</xdr:col>
      <xdr:colOff>295275</xdr:colOff>
      <xdr:row>86</xdr:row>
      <xdr:rowOff>133350</xdr:rowOff>
    </xdr:to>
    <xdr:cxnSp macro="">
      <xdr:nvCxnSpPr>
        <xdr:cNvPr id="465" name="Прямая со стрелкой 464">
          <a:extLst>
            <a:ext uri="{FF2B5EF4-FFF2-40B4-BE49-F238E27FC236}">
              <a16:creationId xmlns:a16="http://schemas.microsoft.com/office/drawing/2014/main" id="{00000000-0008-0000-0300-0000D1010000}"/>
            </a:ext>
          </a:extLst>
        </xdr:cNvPr>
        <xdr:cNvCxnSpPr/>
      </xdr:nvCxnSpPr>
      <xdr:spPr>
        <a:xfrm>
          <a:off x="923925" y="15830550"/>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600075</xdr:colOff>
      <xdr:row>68</xdr:row>
      <xdr:rowOff>104775</xdr:rowOff>
    </xdr:from>
    <xdr:to>
      <xdr:col>39</xdr:col>
      <xdr:colOff>0</xdr:colOff>
      <xdr:row>69</xdr:row>
      <xdr:rowOff>76200</xdr:rowOff>
    </xdr:to>
    <xdr:sp macro="" textlink="">
      <xdr:nvSpPr>
        <xdr:cNvPr id="466" name="Овал 465">
          <a:extLst>
            <a:ext uri="{FF2B5EF4-FFF2-40B4-BE49-F238E27FC236}">
              <a16:creationId xmlns:a16="http://schemas.microsoft.com/office/drawing/2014/main" id="{00000000-0008-0000-0300-0000D2010000}"/>
            </a:ext>
          </a:extLst>
        </xdr:cNvPr>
        <xdr:cNvSpPr/>
      </xdr:nvSpPr>
      <xdr:spPr>
        <a:xfrm>
          <a:off x="5619750" y="1288732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38</xdr:col>
      <xdr:colOff>0</xdr:colOff>
      <xdr:row>83</xdr:row>
      <xdr:rowOff>114300</xdr:rowOff>
    </xdr:from>
    <xdr:to>
      <xdr:col>39</xdr:col>
      <xdr:colOff>0</xdr:colOff>
      <xdr:row>84</xdr:row>
      <xdr:rowOff>85725</xdr:rowOff>
    </xdr:to>
    <xdr:sp macro="" textlink="">
      <xdr:nvSpPr>
        <xdr:cNvPr id="467" name="Овал 466">
          <a:extLst>
            <a:ext uri="{FF2B5EF4-FFF2-40B4-BE49-F238E27FC236}">
              <a16:creationId xmlns:a16="http://schemas.microsoft.com/office/drawing/2014/main" id="{00000000-0008-0000-0300-0000D3010000}"/>
            </a:ext>
          </a:extLst>
        </xdr:cNvPr>
        <xdr:cNvSpPr/>
      </xdr:nvSpPr>
      <xdr:spPr>
        <a:xfrm>
          <a:off x="5629275" y="15754350"/>
          <a:ext cx="152400"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39</xdr:col>
      <xdr:colOff>161925</xdr:colOff>
      <xdr:row>66</xdr:row>
      <xdr:rowOff>9525</xdr:rowOff>
    </xdr:from>
    <xdr:to>
      <xdr:col>39</xdr:col>
      <xdr:colOff>161925</xdr:colOff>
      <xdr:row>69</xdr:row>
      <xdr:rowOff>0</xdr:rowOff>
    </xdr:to>
    <xdr:cxnSp macro="">
      <xdr:nvCxnSpPr>
        <xdr:cNvPr id="468" name="Прямая со стрелкой 467">
          <a:extLst>
            <a:ext uri="{FF2B5EF4-FFF2-40B4-BE49-F238E27FC236}">
              <a16:creationId xmlns:a16="http://schemas.microsoft.com/office/drawing/2014/main" id="{00000000-0008-0000-0300-0000D4010000}"/>
            </a:ext>
          </a:extLst>
        </xdr:cNvPr>
        <xdr:cNvCxnSpPr/>
      </xdr:nvCxnSpPr>
      <xdr:spPr>
        <a:xfrm>
          <a:off x="5943600" y="12458700"/>
          <a:ext cx="0" cy="51435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171450</xdr:colOff>
      <xdr:row>84</xdr:row>
      <xdr:rowOff>9525</xdr:rowOff>
    </xdr:from>
    <xdr:to>
      <xdr:col>39</xdr:col>
      <xdr:colOff>171450</xdr:colOff>
      <xdr:row>87</xdr:row>
      <xdr:rowOff>0</xdr:rowOff>
    </xdr:to>
    <xdr:cxnSp macro="">
      <xdr:nvCxnSpPr>
        <xdr:cNvPr id="469" name="Прямая со стрелкой 468">
          <a:extLst>
            <a:ext uri="{FF2B5EF4-FFF2-40B4-BE49-F238E27FC236}">
              <a16:creationId xmlns:a16="http://schemas.microsoft.com/office/drawing/2014/main" id="{00000000-0008-0000-0300-0000D5010000}"/>
            </a:ext>
          </a:extLst>
        </xdr:cNvPr>
        <xdr:cNvCxnSpPr/>
      </xdr:nvCxnSpPr>
      <xdr:spPr>
        <a:xfrm>
          <a:off x="5953125" y="15840075"/>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630</xdr:colOff>
      <xdr:row>65</xdr:row>
      <xdr:rowOff>4057</xdr:rowOff>
    </xdr:from>
    <xdr:to>
      <xdr:col>29</xdr:col>
      <xdr:colOff>0</xdr:colOff>
      <xdr:row>65</xdr:row>
      <xdr:rowOff>8283</xdr:rowOff>
    </xdr:to>
    <xdr:cxnSp macro="">
      <xdr:nvCxnSpPr>
        <xdr:cNvPr id="470" name="Прямая со стрелкой 469">
          <a:extLst>
            <a:ext uri="{FF2B5EF4-FFF2-40B4-BE49-F238E27FC236}">
              <a16:creationId xmlns:a16="http://schemas.microsoft.com/office/drawing/2014/main" id="{00000000-0008-0000-0300-0000D6010000}"/>
            </a:ext>
          </a:extLst>
        </xdr:cNvPr>
        <xdr:cNvCxnSpPr/>
      </xdr:nvCxnSpPr>
      <xdr:spPr>
        <a:xfrm flipH="1" flipV="1">
          <a:off x="1076955" y="12253207"/>
          <a:ext cx="1637670" cy="4226"/>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459486</xdr:colOff>
      <xdr:row>65</xdr:row>
      <xdr:rowOff>7370</xdr:rowOff>
    </xdr:from>
    <xdr:to>
      <xdr:col>38</xdr:col>
      <xdr:colOff>144117</xdr:colOff>
      <xdr:row>65</xdr:row>
      <xdr:rowOff>11596</xdr:rowOff>
    </xdr:to>
    <xdr:cxnSp macro="">
      <xdr:nvCxnSpPr>
        <xdr:cNvPr id="471" name="Прямая со стрелкой 470">
          <a:extLst>
            <a:ext uri="{FF2B5EF4-FFF2-40B4-BE49-F238E27FC236}">
              <a16:creationId xmlns:a16="http://schemas.microsoft.com/office/drawing/2014/main" id="{00000000-0008-0000-0300-0000D7010000}"/>
            </a:ext>
          </a:extLst>
        </xdr:cNvPr>
        <xdr:cNvCxnSpPr/>
      </xdr:nvCxnSpPr>
      <xdr:spPr>
        <a:xfrm flipH="1" flipV="1">
          <a:off x="4136136" y="12256520"/>
          <a:ext cx="1637256" cy="4226"/>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231913</xdr:colOff>
      <xdr:row>66</xdr:row>
      <xdr:rowOff>13926</xdr:rowOff>
    </xdr:from>
    <xdr:to>
      <xdr:col>30</xdr:col>
      <xdr:colOff>244855</xdr:colOff>
      <xdr:row>87</xdr:row>
      <xdr:rowOff>0</xdr:rowOff>
    </xdr:to>
    <xdr:cxnSp macro="">
      <xdr:nvCxnSpPr>
        <xdr:cNvPr id="472" name="Прямая со стрелкой 471">
          <a:extLst>
            <a:ext uri="{FF2B5EF4-FFF2-40B4-BE49-F238E27FC236}">
              <a16:creationId xmlns:a16="http://schemas.microsoft.com/office/drawing/2014/main" id="{00000000-0008-0000-0300-0000D8010000}"/>
            </a:ext>
          </a:extLst>
        </xdr:cNvPr>
        <xdr:cNvCxnSpPr/>
      </xdr:nvCxnSpPr>
      <xdr:spPr>
        <a:xfrm flipH="1">
          <a:off x="3413263" y="12463101"/>
          <a:ext cx="12942" cy="3900849"/>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0</xdr:colOff>
      <xdr:row>79</xdr:row>
      <xdr:rowOff>114300</xdr:rowOff>
    </xdr:from>
    <xdr:to>
      <xdr:col>24</xdr:col>
      <xdr:colOff>9525</xdr:colOff>
      <xdr:row>80</xdr:row>
      <xdr:rowOff>85725</xdr:rowOff>
    </xdr:to>
    <xdr:sp macro="" textlink="">
      <xdr:nvSpPr>
        <xdr:cNvPr id="474" name="Овал 473">
          <a:extLst>
            <a:ext uri="{FF2B5EF4-FFF2-40B4-BE49-F238E27FC236}">
              <a16:creationId xmlns:a16="http://schemas.microsoft.com/office/drawing/2014/main" id="{00000000-0008-0000-0300-0000DA010000}"/>
            </a:ext>
          </a:extLst>
        </xdr:cNvPr>
        <xdr:cNvSpPr/>
      </xdr:nvSpPr>
      <xdr:spPr>
        <a:xfrm>
          <a:off x="1076325" y="14992350"/>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22</xdr:col>
      <xdr:colOff>295275</xdr:colOff>
      <xdr:row>80</xdr:row>
      <xdr:rowOff>9525</xdr:rowOff>
    </xdr:from>
    <xdr:to>
      <xdr:col>22</xdr:col>
      <xdr:colOff>304801</xdr:colOff>
      <xdr:row>83</xdr:row>
      <xdr:rowOff>171450</xdr:rowOff>
    </xdr:to>
    <xdr:cxnSp macro="">
      <xdr:nvCxnSpPr>
        <xdr:cNvPr id="476" name="Прямая со стрелкой 475">
          <a:extLst>
            <a:ext uri="{FF2B5EF4-FFF2-40B4-BE49-F238E27FC236}">
              <a16:creationId xmlns:a16="http://schemas.microsoft.com/office/drawing/2014/main" id="{00000000-0008-0000-0300-0000DC010000}"/>
            </a:ext>
          </a:extLst>
        </xdr:cNvPr>
        <xdr:cNvCxnSpPr/>
      </xdr:nvCxnSpPr>
      <xdr:spPr>
        <a:xfrm>
          <a:off x="923925" y="15078075"/>
          <a:ext cx="9526" cy="733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43</xdr:col>
      <xdr:colOff>295275</xdr:colOff>
      <xdr:row>65</xdr:row>
      <xdr:rowOff>4057</xdr:rowOff>
    </xdr:from>
    <xdr:to>
      <xdr:col>60</xdr:col>
      <xdr:colOff>161925</xdr:colOff>
      <xdr:row>88</xdr:row>
      <xdr:rowOff>74557</xdr:rowOff>
    </xdr:to>
    <xdr:grpSp>
      <xdr:nvGrpSpPr>
        <xdr:cNvPr id="478" name="Группа 477">
          <a:extLst>
            <a:ext uri="{FF2B5EF4-FFF2-40B4-BE49-F238E27FC236}">
              <a16:creationId xmlns:a16="http://schemas.microsoft.com/office/drawing/2014/main" id="{00000000-0008-0000-0300-0000DE010000}"/>
            </a:ext>
          </a:extLst>
        </xdr:cNvPr>
        <xdr:cNvGrpSpPr/>
      </xdr:nvGrpSpPr>
      <xdr:grpSpPr>
        <a:xfrm>
          <a:off x="15946849" y="12116094"/>
          <a:ext cx="4993687" cy="4327352"/>
          <a:chOff x="8534400" y="956557"/>
          <a:chExt cx="5019675" cy="4375800"/>
        </a:xfrm>
      </xdr:grpSpPr>
      <xdr:sp macro="" textlink="">
        <xdr:nvSpPr>
          <xdr:cNvPr id="483" name="Овал 482">
            <a:extLst>
              <a:ext uri="{FF2B5EF4-FFF2-40B4-BE49-F238E27FC236}">
                <a16:creationId xmlns:a16="http://schemas.microsoft.com/office/drawing/2014/main" id="{00000000-0008-0000-0300-0000E3010000}"/>
              </a:ext>
            </a:extLst>
          </xdr:cNvPr>
          <xdr:cNvSpPr/>
        </xdr:nvSpPr>
        <xdr:spPr>
          <a:xfrm>
            <a:off x="8686800" y="1600200"/>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sp macro="" textlink="">
        <xdr:nvSpPr>
          <xdr:cNvPr id="484" name="Овал 483">
            <a:extLst>
              <a:ext uri="{FF2B5EF4-FFF2-40B4-BE49-F238E27FC236}">
                <a16:creationId xmlns:a16="http://schemas.microsoft.com/office/drawing/2014/main" id="{00000000-0008-0000-0300-0000E4010000}"/>
              </a:ext>
            </a:extLst>
          </xdr:cNvPr>
          <xdr:cNvSpPr/>
        </xdr:nvSpPr>
        <xdr:spPr>
          <a:xfrm>
            <a:off x="8686800" y="4448175"/>
            <a:ext cx="152400"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xnSp macro="">
        <xdr:nvCxnSpPr>
          <xdr:cNvPr id="485" name="Прямая со стрелкой 484">
            <a:extLst>
              <a:ext uri="{FF2B5EF4-FFF2-40B4-BE49-F238E27FC236}">
                <a16:creationId xmlns:a16="http://schemas.microsoft.com/office/drawing/2014/main" id="{00000000-0008-0000-0300-0000E5010000}"/>
              </a:ext>
            </a:extLst>
          </xdr:cNvPr>
          <xdr:cNvCxnSpPr/>
        </xdr:nvCxnSpPr>
        <xdr:spPr>
          <a:xfrm>
            <a:off x="8543925" y="1152525"/>
            <a:ext cx="0" cy="51435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86" name="Прямая со стрелкой 485">
            <a:extLst>
              <a:ext uri="{FF2B5EF4-FFF2-40B4-BE49-F238E27FC236}">
                <a16:creationId xmlns:a16="http://schemas.microsoft.com/office/drawing/2014/main" id="{00000000-0008-0000-0300-0000E6010000}"/>
              </a:ext>
            </a:extLst>
          </xdr:cNvPr>
          <xdr:cNvCxnSpPr/>
        </xdr:nvCxnSpPr>
        <xdr:spPr>
          <a:xfrm>
            <a:off x="8534400" y="4533900"/>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487" name="Овал 486">
            <a:extLst>
              <a:ext uri="{FF2B5EF4-FFF2-40B4-BE49-F238E27FC236}">
                <a16:creationId xmlns:a16="http://schemas.microsoft.com/office/drawing/2014/main" id="{00000000-0008-0000-0300-0000E7010000}"/>
              </a:ext>
            </a:extLst>
          </xdr:cNvPr>
          <xdr:cNvSpPr/>
        </xdr:nvSpPr>
        <xdr:spPr>
          <a:xfrm>
            <a:off x="13230225" y="159067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sp macro="" textlink="">
        <xdr:nvSpPr>
          <xdr:cNvPr id="488" name="Овал 487">
            <a:extLst>
              <a:ext uri="{FF2B5EF4-FFF2-40B4-BE49-F238E27FC236}">
                <a16:creationId xmlns:a16="http://schemas.microsoft.com/office/drawing/2014/main" id="{00000000-0008-0000-0300-0000E8010000}"/>
              </a:ext>
            </a:extLst>
          </xdr:cNvPr>
          <xdr:cNvSpPr/>
        </xdr:nvSpPr>
        <xdr:spPr>
          <a:xfrm>
            <a:off x="13239750" y="4457700"/>
            <a:ext cx="152400"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xnSp macro="">
        <xdr:nvCxnSpPr>
          <xdr:cNvPr id="489" name="Прямая со стрелкой 488">
            <a:extLst>
              <a:ext uri="{FF2B5EF4-FFF2-40B4-BE49-F238E27FC236}">
                <a16:creationId xmlns:a16="http://schemas.microsoft.com/office/drawing/2014/main" id="{00000000-0008-0000-0300-0000E9010000}"/>
              </a:ext>
            </a:extLst>
          </xdr:cNvPr>
          <xdr:cNvCxnSpPr/>
        </xdr:nvCxnSpPr>
        <xdr:spPr>
          <a:xfrm>
            <a:off x="13554075" y="1162050"/>
            <a:ext cx="0" cy="51435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90" name="Прямая со стрелкой 489">
            <a:extLst>
              <a:ext uri="{FF2B5EF4-FFF2-40B4-BE49-F238E27FC236}">
                <a16:creationId xmlns:a16="http://schemas.microsoft.com/office/drawing/2014/main" id="{00000000-0008-0000-0300-0000EA010000}"/>
              </a:ext>
            </a:extLst>
          </xdr:cNvPr>
          <xdr:cNvCxnSpPr/>
        </xdr:nvCxnSpPr>
        <xdr:spPr>
          <a:xfrm>
            <a:off x="13544550" y="4543425"/>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491" name="Овал 490">
            <a:extLst>
              <a:ext uri="{FF2B5EF4-FFF2-40B4-BE49-F238E27FC236}">
                <a16:creationId xmlns:a16="http://schemas.microsoft.com/office/drawing/2014/main" id="{00000000-0008-0000-0300-0000EB010000}"/>
              </a:ext>
            </a:extLst>
          </xdr:cNvPr>
          <xdr:cNvSpPr/>
        </xdr:nvSpPr>
        <xdr:spPr>
          <a:xfrm>
            <a:off x="12012216" y="4108847"/>
            <a:ext cx="76200" cy="85725"/>
          </a:xfrm>
          <a:prstGeom prst="ellipse">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sp macro="" textlink="">
        <xdr:nvSpPr>
          <xdr:cNvPr id="492" name="Овал 491">
            <a:extLst>
              <a:ext uri="{FF2B5EF4-FFF2-40B4-BE49-F238E27FC236}">
                <a16:creationId xmlns:a16="http://schemas.microsoft.com/office/drawing/2014/main" id="{00000000-0008-0000-0300-0000EC010000}"/>
              </a:ext>
            </a:extLst>
          </xdr:cNvPr>
          <xdr:cNvSpPr/>
        </xdr:nvSpPr>
        <xdr:spPr>
          <a:xfrm>
            <a:off x="12003039" y="4680857"/>
            <a:ext cx="82826" cy="87796"/>
          </a:xfrm>
          <a:prstGeom prst="ellipse">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xnSp macro="">
        <xdr:nvCxnSpPr>
          <xdr:cNvPr id="493" name="Прямая со стрелкой 492">
            <a:extLst>
              <a:ext uri="{FF2B5EF4-FFF2-40B4-BE49-F238E27FC236}">
                <a16:creationId xmlns:a16="http://schemas.microsoft.com/office/drawing/2014/main" id="{00000000-0008-0000-0300-0000ED010000}"/>
              </a:ext>
            </a:extLst>
          </xdr:cNvPr>
          <xdr:cNvCxnSpPr/>
        </xdr:nvCxnSpPr>
        <xdr:spPr>
          <a:xfrm>
            <a:off x="11619310" y="4146947"/>
            <a:ext cx="0" cy="567928"/>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94" name="Прямая со стрелкой 493">
            <a:extLst>
              <a:ext uri="{FF2B5EF4-FFF2-40B4-BE49-F238E27FC236}">
                <a16:creationId xmlns:a16="http://schemas.microsoft.com/office/drawing/2014/main" id="{00000000-0008-0000-0300-0000EE010000}"/>
              </a:ext>
            </a:extLst>
          </xdr:cNvPr>
          <xdr:cNvCxnSpPr/>
        </xdr:nvCxnSpPr>
        <xdr:spPr>
          <a:xfrm>
            <a:off x="11619970" y="4723929"/>
            <a:ext cx="0" cy="340829"/>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95" name="Прямая со стрелкой 494">
            <a:extLst>
              <a:ext uri="{FF2B5EF4-FFF2-40B4-BE49-F238E27FC236}">
                <a16:creationId xmlns:a16="http://schemas.microsoft.com/office/drawing/2014/main" id="{00000000-0008-0000-0300-0000EF010000}"/>
              </a:ext>
            </a:extLst>
          </xdr:cNvPr>
          <xdr:cNvCxnSpPr/>
        </xdr:nvCxnSpPr>
        <xdr:spPr>
          <a:xfrm flipH="1">
            <a:off x="11757463" y="5301854"/>
            <a:ext cx="282876" cy="61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496" name="Овал 495">
            <a:extLst>
              <a:ext uri="{FF2B5EF4-FFF2-40B4-BE49-F238E27FC236}">
                <a16:creationId xmlns:a16="http://schemas.microsoft.com/office/drawing/2014/main" id="{00000000-0008-0000-0300-0000F0010000}"/>
              </a:ext>
            </a:extLst>
          </xdr:cNvPr>
          <xdr:cNvSpPr/>
        </xdr:nvSpPr>
        <xdr:spPr>
          <a:xfrm>
            <a:off x="9990001" y="4107205"/>
            <a:ext cx="78499" cy="85725"/>
          </a:xfrm>
          <a:prstGeom prst="ellipse">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sp macro="" textlink="">
        <xdr:nvSpPr>
          <xdr:cNvPr id="497" name="Овал 496">
            <a:extLst>
              <a:ext uri="{FF2B5EF4-FFF2-40B4-BE49-F238E27FC236}">
                <a16:creationId xmlns:a16="http://schemas.microsoft.com/office/drawing/2014/main" id="{00000000-0008-0000-0300-0000F1010000}"/>
              </a:ext>
            </a:extLst>
          </xdr:cNvPr>
          <xdr:cNvSpPr/>
        </xdr:nvSpPr>
        <xdr:spPr>
          <a:xfrm>
            <a:off x="9987585" y="4674811"/>
            <a:ext cx="78499" cy="85725"/>
          </a:xfrm>
          <a:prstGeom prst="ellipse">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xnSp macro="">
        <xdr:nvCxnSpPr>
          <xdr:cNvPr id="498" name="Прямая со стрелкой 497">
            <a:extLst>
              <a:ext uri="{FF2B5EF4-FFF2-40B4-BE49-F238E27FC236}">
                <a16:creationId xmlns:a16="http://schemas.microsoft.com/office/drawing/2014/main" id="{00000000-0008-0000-0300-0000F2010000}"/>
              </a:ext>
            </a:extLst>
          </xdr:cNvPr>
          <xdr:cNvCxnSpPr/>
        </xdr:nvCxnSpPr>
        <xdr:spPr>
          <a:xfrm>
            <a:off x="10469288" y="4719145"/>
            <a:ext cx="0" cy="344542"/>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99" name="Прямая со стрелкой 498">
            <a:extLst>
              <a:ext uri="{FF2B5EF4-FFF2-40B4-BE49-F238E27FC236}">
                <a16:creationId xmlns:a16="http://schemas.microsoft.com/office/drawing/2014/main" id="{00000000-0008-0000-0300-0000F3010000}"/>
              </a:ext>
            </a:extLst>
          </xdr:cNvPr>
          <xdr:cNvCxnSpPr/>
        </xdr:nvCxnSpPr>
        <xdr:spPr>
          <a:xfrm flipH="1">
            <a:off x="10037708" y="5331742"/>
            <a:ext cx="281562" cy="61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00" name="Прямая со стрелкой 499">
            <a:extLst>
              <a:ext uri="{FF2B5EF4-FFF2-40B4-BE49-F238E27FC236}">
                <a16:creationId xmlns:a16="http://schemas.microsoft.com/office/drawing/2014/main" id="{00000000-0008-0000-0300-0000F4010000}"/>
              </a:ext>
            </a:extLst>
          </xdr:cNvPr>
          <xdr:cNvCxnSpPr/>
        </xdr:nvCxnSpPr>
        <xdr:spPr>
          <a:xfrm>
            <a:off x="10468550" y="4142349"/>
            <a:ext cx="0" cy="567928"/>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501" name="Овал 500">
            <a:extLst>
              <a:ext uri="{FF2B5EF4-FFF2-40B4-BE49-F238E27FC236}">
                <a16:creationId xmlns:a16="http://schemas.microsoft.com/office/drawing/2014/main" id="{00000000-0008-0000-0300-0000F5010000}"/>
              </a:ext>
            </a:extLst>
          </xdr:cNvPr>
          <xdr:cNvSpPr/>
        </xdr:nvSpPr>
        <xdr:spPr>
          <a:xfrm>
            <a:off x="12596191" y="4680089"/>
            <a:ext cx="77857" cy="85725"/>
          </a:xfrm>
          <a:prstGeom prst="ellipse">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sp macro="" textlink="">
        <xdr:nvSpPr>
          <xdr:cNvPr id="502" name="Овал 501">
            <a:extLst>
              <a:ext uri="{FF2B5EF4-FFF2-40B4-BE49-F238E27FC236}">
                <a16:creationId xmlns:a16="http://schemas.microsoft.com/office/drawing/2014/main" id="{00000000-0008-0000-0300-0000F6010000}"/>
              </a:ext>
            </a:extLst>
          </xdr:cNvPr>
          <xdr:cNvSpPr/>
        </xdr:nvSpPr>
        <xdr:spPr>
          <a:xfrm>
            <a:off x="9418983" y="4682987"/>
            <a:ext cx="70817" cy="85725"/>
          </a:xfrm>
          <a:prstGeom prst="ellipse">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xnSp macro="">
        <xdr:nvCxnSpPr>
          <xdr:cNvPr id="503" name="Прямая со стрелкой 502">
            <a:extLst>
              <a:ext uri="{FF2B5EF4-FFF2-40B4-BE49-F238E27FC236}">
                <a16:creationId xmlns:a16="http://schemas.microsoft.com/office/drawing/2014/main" id="{00000000-0008-0000-0300-0000F7010000}"/>
              </a:ext>
            </a:extLst>
          </xdr:cNvPr>
          <xdr:cNvCxnSpPr/>
        </xdr:nvCxnSpPr>
        <xdr:spPr>
          <a:xfrm flipH="1" flipV="1">
            <a:off x="12031533" y="5304511"/>
            <a:ext cx="589092" cy="2571"/>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04" name="Прямая со стрелкой 503">
            <a:extLst>
              <a:ext uri="{FF2B5EF4-FFF2-40B4-BE49-F238E27FC236}">
                <a16:creationId xmlns:a16="http://schemas.microsoft.com/office/drawing/2014/main" id="{00000000-0008-0000-0300-0000F8010000}"/>
              </a:ext>
            </a:extLst>
          </xdr:cNvPr>
          <xdr:cNvCxnSpPr/>
        </xdr:nvCxnSpPr>
        <xdr:spPr>
          <a:xfrm flipH="1" flipV="1">
            <a:off x="9441147" y="5329359"/>
            <a:ext cx="586193" cy="2571"/>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05" name="Прямая со стрелкой 504">
            <a:extLst>
              <a:ext uri="{FF2B5EF4-FFF2-40B4-BE49-F238E27FC236}">
                <a16:creationId xmlns:a16="http://schemas.microsoft.com/office/drawing/2014/main" id="{00000000-0008-0000-0300-0000F9010000}"/>
              </a:ext>
            </a:extLst>
          </xdr:cNvPr>
          <xdr:cNvCxnSpPr/>
        </xdr:nvCxnSpPr>
        <xdr:spPr>
          <a:xfrm flipH="1" flipV="1">
            <a:off x="8687430" y="956557"/>
            <a:ext cx="1637670" cy="4226"/>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06" name="Прямая со стрелкой 505">
            <a:extLst>
              <a:ext uri="{FF2B5EF4-FFF2-40B4-BE49-F238E27FC236}">
                <a16:creationId xmlns:a16="http://schemas.microsoft.com/office/drawing/2014/main" id="{00000000-0008-0000-0300-0000FA010000}"/>
              </a:ext>
            </a:extLst>
          </xdr:cNvPr>
          <xdr:cNvCxnSpPr/>
        </xdr:nvCxnSpPr>
        <xdr:spPr>
          <a:xfrm flipH="1" flipV="1">
            <a:off x="11746611" y="959870"/>
            <a:ext cx="1637256" cy="4226"/>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07" name="Прямая со стрелкой 506">
            <a:extLst>
              <a:ext uri="{FF2B5EF4-FFF2-40B4-BE49-F238E27FC236}">
                <a16:creationId xmlns:a16="http://schemas.microsoft.com/office/drawing/2014/main" id="{00000000-0008-0000-0300-0000FB010000}"/>
              </a:ext>
            </a:extLst>
          </xdr:cNvPr>
          <xdr:cNvCxnSpPr/>
        </xdr:nvCxnSpPr>
        <xdr:spPr>
          <a:xfrm flipH="1">
            <a:off x="11023738" y="1166451"/>
            <a:ext cx="12942" cy="3900849"/>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grpSp>
        <xdr:nvGrpSpPr>
          <xdr:cNvPr id="508" name="Группа 507">
            <a:extLst>
              <a:ext uri="{FF2B5EF4-FFF2-40B4-BE49-F238E27FC236}">
                <a16:creationId xmlns:a16="http://schemas.microsoft.com/office/drawing/2014/main" id="{00000000-0008-0000-0300-0000FC010000}"/>
              </a:ext>
            </a:extLst>
          </xdr:cNvPr>
          <xdr:cNvGrpSpPr/>
        </xdr:nvGrpSpPr>
        <xdr:grpSpPr>
          <a:xfrm>
            <a:off x="12106135" y="3943350"/>
            <a:ext cx="540580" cy="159001"/>
            <a:chOff x="4451348" y="3768587"/>
            <a:chExt cx="543065" cy="159001"/>
          </a:xfrm>
        </xdr:grpSpPr>
        <xdr:cxnSp macro="">
          <xdr:nvCxnSpPr>
            <xdr:cNvPr id="517" name="Прямая со стрелкой 516">
              <a:extLst>
                <a:ext uri="{FF2B5EF4-FFF2-40B4-BE49-F238E27FC236}">
                  <a16:creationId xmlns:a16="http://schemas.microsoft.com/office/drawing/2014/main" id="{00000000-0008-0000-0300-000005020000}"/>
                </a:ext>
              </a:extLst>
            </xdr:cNvPr>
            <xdr:cNvCxnSpPr>
              <a:endCxn id="491" idx="7"/>
            </xdr:cNvCxnSpPr>
          </xdr:nvCxnSpPr>
          <xdr:spPr>
            <a:xfrm flipH="1">
              <a:off x="4451348" y="3776870"/>
              <a:ext cx="145500" cy="150718"/>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18" name="Прямая соединительная линия 517">
              <a:extLst>
                <a:ext uri="{FF2B5EF4-FFF2-40B4-BE49-F238E27FC236}">
                  <a16:creationId xmlns:a16="http://schemas.microsoft.com/office/drawing/2014/main" id="{00000000-0008-0000-0300-000006020000}"/>
                </a:ext>
              </a:extLst>
            </xdr:cNvPr>
            <xdr:cNvCxnSpPr/>
          </xdr:nvCxnSpPr>
          <xdr:spPr>
            <a:xfrm>
              <a:off x="4596848" y="3768587"/>
              <a:ext cx="397565" cy="1"/>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grpSp>
      <xdr:grpSp>
        <xdr:nvGrpSpPr>
          <xdr:cNvPr id="509" name="Группа 508">
            <a:extLst>
              <a:ext uri="{FF2B5EF4-FFF2-40B4-BE49-F238E27FC236}">
                <a16:creationId xmlns:a16="http://schemas.microsoft.com/office/drawing/2014/main" id="{00000000-0008-0000-0300-0000FD010000}"/>
              </a:ext>
            </a:extLst>
          </xdr:cNvPr>
          <xdr:cNvGrpSpPr/>
        </xdr:nvGrpSpPr>
        <xdr:grpSpPr>
          <a:xfrm>
            <a:off x="9452114" y="3973996"/>
            <a:ext cx="549747" cy="145763"/>
            <a:chOff x="9452114" y="3973996"/>
            <a:chExt cx="549747" cy="145763"/>
          </a:xfrm>
        </xdr:grpSpPr>
        <xdr:cxnSp macro="">
          <xdr:nvCxnSpPr>
            <xdr:cNvPr id="515" name="Прямая со стрелкой 514">
              <a:extLst>
                <a:ext uri="{FF2B5EF4-FFF2-40B4-BE49-F238E27FC236}">
                  <a16:creationId xmlns:a16="http://schemas.microsoft.com/office/drawing/2014/main" id="{00000000-0008-0000-0300-000003020000}"/>
                </a:ext>
              </a:extLst>
            </xdr:cNvPr>
            <xdr:cNvCxnSpPr>
              <a:endCxn id="496" idx="1"/>
            </xdr:cNvCxnSpPr>
          </xdr:nvCxnSpPr>
          <xdr:spPr>
            <a:xfrm>
              <a:off x="9836841" y="3973996"/>
              <a:ext cx="165020" cy="14576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16" name="Прямая соединительная линия 515">
              <a:extLst>
                <a:ext uri="{FF2B5EF4-FFF2-40B4-BE49-F238E27FC236}">
                  <a16:creationId xmlns:a16="http://schemas.microsoft.com/office/drawing/2014/main" id="{00000000-0008-0000-0300-000004020000}"/>
                </a:ext>
              </a:extLst>
            </xdr:cNvPr>
            <xdr:cNvCxnSpPr/>
          </xdr:nvCxnSpPr>
          <xdr:spPr>
            <a:xfrm>
              <a:off x="9452114" y="3973996"/>
              <a:ext cx="401292" cy="1"/>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grpSp>
      <xdr:grpSp>
        <xdr:nvGrpSpPr>
          <xdr:cNvPr id="510" name="Группа 509">
            <a:extLst>
              <a:ext uri="{FF2B5EF4-FFF2-40B4-BE49-F238E27FC236}">
                <a16:creationId xmlns:a16="http://schemas.microsoft.com/office/drawing/2014/main" id="{00000000-0008-0000-0300-0000FE010000}"/>
              </a:ext>
            </a:extLst>
          </xdr:cNvPr>
          <xdr:cNvGrpSpPr/>
        </xdr:nvGrpSpPr>
        <xdr:grpSpPr>
          <a:xfrm>
            <a:off x="9449411" y="4514850"/>
            <a:ext cx="542314" cy="157359"/>
            <a:chOff x="9449411" y="4514850"/>
            <a:chExt cx="542314" cy="157359"/>
          </a:xfrm>
        </xdr:grpSpPr>
        <xdr:cxnSp macro="">
          <xdr:nvCxnSpPr>
            <xdr:cNvPr id="513" name="Прямая со стрелкой 512">
              <a:extLst>
                <a:ext uri="{FF2B5EF4-FFF2-40B4-BE49-F238E27FC236}">
                  <a16:creationId xmlns:a16="http://schemas.microsoft.com/office/drawing/2014/main" id="{00000000-0008-0000-0300-000001020000}"/>
                </a:ext>
              </a:extLst>
            </xdr:cNvPr>
            <xdr:cNvCxnSpPr/>
          </xdr:nvCxnSpPr>
          <xdr:spPr>
            <a:xfrm flipH="1">
              <a:off x="9449411" y="4514850"/>
              <a:ext cx="56539" cy="157359"/>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14" name="Прямая соединительная линия 513">
              <a:extLst>
                <a:ext uri="{FF2B5EF4-FFF2-40B4-BE49-F238E27FC236}">
                  <a16:creationId xmlns:a16="http://schemas.microsoft.com/office/drawing/2014/main" id="{00000000-0008-0000-0300-000002020000}"/>
                </a:ext>
              </a:extLst>
            </xdr:cNvPr>
            <xdr:cNvCxnSpPr/>
          </xdr:nvCxnSpPr>
          <xdr:spPr>
            <a:xfrm>
              <a:off x="9486900" y="4524375"/>
              <a:ext cx="50482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grpSp>
      <xdr:cxnSp macro="">
        <xdr:nvCxnSpPr>
          <xdr:cNvPr id="511" name="Прямая со стрелкой 510">
            <a:extLst>
              <a:ext uri="{FF2B5EF4-FFF2-40B4-BE49-F238E27FC236}">
                <a16:creationId xmlns:a16="http://schemas.microsoft.com/office/drawing/2014/main" id="{00000000-0008-0000-0300-0000FF010000}"/>
              </a:ext>
            </a:extLst>
          </xdr:cNvPr>
          <xdr:cNvCxnSpPr/>
        </xdr:nvCxnSpPr>
        <xdr:spPr>
          <a:xfrm>
            <a:off x="12515850" y="4533900"/>
            <a:ext cx="95250" cy="14287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12" name="Прямая соединительная линия 511">
            <a:extLst>
              <a:ext uri="{FF2B5EF4-FFF2-40B4-BE49-F238E27FC236}">
                <a16:creationId xmlns:a16="http://schemas.microsoft.com/office/drawing/2014/main" id="{00000000-0008-0000-0300-000000020000}"/>
              </a:ext>
            </a:extLst>
          </xdr:cNvPr>
          <xdr:cNvCxnSpPr/>
        </xdr:nvCxnSpPr>
        <xdr:spPr>
          <a:xfrm>
            <a:off x="12153900" y="4533900"/>
            <a:ext cx="361950" cy="1"/>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22</xdr:col>
      <xdr:colOff>428625</xdr:colOff>
      <xdr:row>72</xdr:row>
      <xdr:rowOff>114300</xdr:rowOff>
    </xdr:from>
    <xdr:to>
      <xdr:col>23</xdr:col>
      <xdr:colOff>142875</xdr:colOff>
      <xdr:row>73</xdr:row>
      <xdr:rowOff>85725</xdr:rowOff>
    </xdr:to>
    <xdr:sp macro="" textlink="">
      <xdr:nvSpPr>
        <xdr:cNvPr id="522" name="Овал 521">
          <a:extLst>
            <a:ext uri="{FF2B5EF4-FFF2-40B4-BE49-F238E27FC236}">
              <a16:creationId xmlns:a16="http://schemas.microsoft.com/office/drawing/2014/main" id="{00000000-0008-0000-0300-00000A020000}"/>
            </a:ext>
          </a:extLst>
        </xdr:cNvPr>
        <xdr:cNvSpPr/>
      </xdr:nvSpPr>
      <xdr:spPr>
        <a:xfrm>
          <a:off x="1057275" y="13658850"/>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37</xdr:col>
      <xdr:colOff>590550</xdr:colOff>
      <xdr:row>79</xdr:row>
      <xdr:rowOff>104775</xdr:rowOff>
    </xdr:from>
    <xdr:to>
      <xdr:col>38</xdr:col>
      <xdr:colOff>142875</xdr:colOff>
      <xdr:row>80</xdr:row>
      <xdr:rowOff>76200</xdr:rowOff>
    </xdr:to>
    <xdr:sp macro="" textlink="">
      <xdr:nvSpPr>
        <xdr:cNvPr id="523" name="Овал 522">
          <a:extLst>
            <a:ext uri="{FF2B5EF4-FFF2-40B4-BE49-F238E27FC236}">
              <a16:creationId xmlns:a16="http://schemas.microsoft.com/office/drawing/2014/main" id="{00000000-0008-0000-0300-00000B020000}"/>
            </a:ext>
          </a:extLst>
        </xdr:cNvPr>
        <xdr:cNvSpPr/>
      </xdr:nvSpPr>
      <xdr:spPr>
        <a:xfrm>
          <a:off x="5610225" y="1498282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37</xdr:col>
      <xdr:colOff>600075</xdr:colOff>
      <xdr:row>72</xdr:row>
      <xdr:rowOff>95250</xdr:rowOff>
    </xdr:from>
    <xdr:to>
      <xdr:col>39</xdr:col>
      <xdr:colOff>0</xdr:colOff>
      <xdr:row>73</xdr:row>
      <xdr:rowOff>66675</xdr:rowOff>
    </xdr:to>
    <xdr:sp macro="" textlink="">
      <xdr:nvSpPr>
        <xdr:cNvPr id="524" name="Овал 523">
          <a:extLst>
            <a:ext uri="{FF2B5EF4-FFF2-40B4-BE49-F238E27FC236}">
              <a16:creationId xmlns:a16="http://schemas.microsoft.com/office/drawing/2014/main" id="{00000000-0008-0000-0300-00000C020000}"/>
            </a:ext>
          </a:extLst>
        </xdr:cNvPr>
        <xdr:cNvSpPr/>
      </xdr:nvSpPr>
      <xdr:spPr>
        <a:xfrm>
          <a:off x="5619750" y="13639800"/>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43</xdr:col>
      <xdr:colOff>428625</xdr:colOff>
      <xdr:row>79</xdr:row>
      <xdr:rowOff>114300</xdr:rowOff>
    </xdr:from>
    <xdr:to>
      <xdr:col>44</xdr:col>
      <xdr:colOff>142875</xdr:colOff>
      <xdr:row>80</xdr:row>
      <xdr:rowOff>85725</xdr:rowOff>
    </xdr:to>
    <xdr:sp macro="" textlink="">
      <xdr:nvSpPr>
        <xdr:cNvPr id="525" name="Овал 524">
          <a:extLst>
            <a:ext uri="{FF2B5EF4-FFF2-40B4-BE49-F238E27FC236}">
              <a16:creationId xmlns:a16="http://schemas.microsoft.com/office/drawing/2014/main" id="{00000000-0008-0000-0300-00000D020000}"/>
            </a:ext>
          </a:extLst>
        </xdr:cNvPr>
        <xdr:cNvSpPr/>
      </xdr:nvSpPr>
      <xdr:spPr>
        <a:xfrm>
          <a:off x="8667750" y="14992350"/>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43</xdr:col>
      <xdr:colOff>438150</xdr:colOff>
      <xdr:row>72</xdr:row>
      <xdr:rowOff>104775</xdr:rowOff>
    </xdr:from>
    <xdr:to>
      <xdr:col>45</xdr:col>
      <xdr:colOff>0</xdr:colOff>
      <xdr:row>73</xdr:row>
      <xdr:rowOff>76200</xdr:rowOff>
    </xdr:to>
    <xdr:sp macro="" textlink="">
      <xdr:nvSpPr>
        <xdr:cNvPr id="526" name="Овал 525">
          <a:extLst>
            <a:ext uri="{FF2B5EF4-FFF2-40B4-BE49-F238E27FC236}">
              <a16:creationId xmlns:a16="http://schemas.microsoft.com/office/drawing/2014/main" id="{00000000-0008-0000-0300-00000E020000}"/>
            </a:ext>
          </a:extLst>
        </xdr:cNvPr>
        <xdr:cNvSpPr/>
      </xdr:nvSpPr>
      <xdr:spPr>
        <a:xfrm>
          <a:off x="8677275" y="1364932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58</xdr:col>
      <xdr:colOff>590550</xdr:colOff>
      <xdr:row>79</xdr:row>
      <xdr:rowOff>114300</xdr:rowOff>
    </xdr:from>
    <xdr:to>
      <xdr:col>59</xdr:col>
      <xdr:colOff>142875</xdr:colOff>
      <xdr:row>80</xdr:row>
      <xdr:rowOff>85725</xdr:rowOff>
    </xdr:to>
    <xdr:sp macro="" textlink="">
      <xdr:nvSpPr>
        <xdr:cNvPr id="527" name="Овал 526">
          <a:extLst>
            <a:ext uri="{FF2B5EF4-FFF2-40B4-BE49-F238E27FC236}">
              <a16:creationId xmlns:a16="http://schemas.microsoft.com/office/drawing/2014/main" id="{00000000-0008-0000-0300-00000F020000}"/>
            </a:ext>
          </a:extLst>
        </xdr:cNvPr>
        <xdr:cNvSpPr/>
      </xdr:nvSpPr>
      <xdr:spPr>
        <a:xfrm>
          <a:off x="13220700" y="14992350"/>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58</xdr:col>
      <xdr:colOff>600075</xdr:colOff>
      <xdr:row>72</xdr:row>
      <xdr:rowOff>104775</xdr:rowOff>
    </xdr:from>
    <xdr:to>
      <xdr:col>60</xdr:col>
      <xdr:colOff>0</xdr:colOff>
      <xdr:row>73</xdr:row>
      <xdr:rowOff>76200</xdr:rowOff>
    </xdr:to>
    <xdr:sp macro="" textlink="">
      <xdr:nvSpPr>
        <xdr:cNvPr id="528" name="Овал 527">
          <a:extLst>
            <a:ext uri="{FF2B5EF4-FFF2-40B4-BE49-F238E27FC236}">
              <a16:creationId xmlns:a16="http://schemas.microsoft.com/office/drawing/2014/main" id="{00000000-0008-0000-0300-000010020000}"/>
            </a:ext>
          </a:extLst>
        </xdr:cNvPr>
        <xdr:cNvSpPr/>
      </xdr:nvSpPr>
      <xdr:spPr>
        <a:xfrm>
          <a:off x="13230225" y="1364932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39</xdr:col>
      <xdr:colOff>171450</xdr:colOff>
      <xdr:row>80</xdr:row>
      <xdr:rowOff>9525</xdr:rowOff>
    </xdr:from>
    <xdr:to>
      <xdr:col>39</xdr:col>
      <xdr:colOff>180976</xdr:colOff>
      <xdr:row>83</xdr:row>
      <xdr:rowOff>171450</xdr:rowOff>
    </xdr:to>
    <xdr:cxnSp macro="">
      <xdr:nvCxnSpPr>
        <xdr:cNvPr id="529" name="Прямая со стрелкой 528">
          <a:extLst>
            <a:ext uri="{FF2B5EF4-FFF2-40B4-BE49-F238E27FC236}">
              <a16:creationId xmlns:a16="http://schemas.microsoft.com/office/drawing/2014/main" id="{00000000-0008-0000-0300-000011020000}"/>
            </a:ext>
          </a:extLst>
        </xdr:cNvPr>
        <xdr:cNvCxnSpPr/>
      </xdr:nvCxnSpPr>
      <xdr:spPr>
        <a:xfrm>
          <a:off x="5953125" y="15078075"/>
          <a:ext cx="9526" cy="733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43</xdr:col>
      <xdr:colOff>285750</xdr:colOff>
      <xdr:row>80</xdr:row>
      <xdr:rowOff>9525</xdr:rowOff>
    </xdr:from>
    <xdr:to>
      <xdr:col>43</xdr:col>
      <xdr:colOff>295276</xdr:colOff>
      <xdr:row>83</xdr:row>
      <xdr:rowOff>171450</xdr:rowOff>
    </xdr:to>
    <xdr:cxnSp macro="">
      <xdr:nvCxnSpPr>
        <xdr:cNvPr id="530" name="Прямая со стрелкой 529">
          <a:extLst>
            <a:ext uri="{FF2B5EF4-FFF2-40B4-BE49-F238E27FC236}">
              <a16:creationId xmlns:a16="http://schemas.microsoft.com/office/drawing/2014/main" id="{00000000-0008-0000-0300-000012020000}"/>
            </a:ext>
          </a:extLst>
        </xdr:cNvPr>
        <xdr:cNvCxnSpPr/>
      </xdr:nvCxnSpPr>
      <xdr:spPr>
        <a:xfrm>
          <a:off x="8524875" y="15078075"/>
          <a:ext cx="9526" cy="733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152400</xdr:colOff>
      <xdr:row>80</xdr:row>
      <xdr:rowOff>19050</xdr:rowOff>
    </xdr:from>
    <xdr:to>
      <xdr:col>60</xdr:col>
      <xdr:colOff>161926</xdr:colOff>
      <xdr:row>83</xdr:row>
      <xdr:rowOff>180975</xdr:rowOff>
    </xdr:to>
    <xdr:cxnSp macro="">
      <xdr:nvCxnSpPr>
        <xdr:cNvPr id="531" name="Прямая со стрелкой 530">
          <a:extLst>
            <a:ext uri="{FF2B5EF4-FFF2-40B4-BE49-F238E27FC236}">
              <a16:creationId xmlns:a16="http://schemas.microsoft.com/office/drawing/2014/main" id="{00000000-0008-0000-0300-000013020000}"/>
            </a:ext>
          </a:extLst>
        </xdr:cNvPr>
        <xdr:cNvCxnSpPr/>
      </xdr:nvCxnSpPr>
      <xdr:spPr>
        <a:xfrm>
          <a:off x="13544550" y="15087600"/>
          <a:ext cx="9526" cy="733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285750</xdr:colOff>
      <xdr:row>69</xdr:row>
      <xdr:rowOff>19050</xdr:rowOff>
    </xdr:from>
    <xdr:to>
      <xdr:col>22</xdr:col>
      <xdr:colOff>295276</xdr:colOff>
      <xdr:row>72</xdr:row>
      <xdr:rowOff>180975</xdr:rowOff>
    </xdr:to>
    <xdr:cxnSp macro="">
      <xdr:nvCxnSpPr>
        <xdr:cNvPr id="532" name="Прямая со стрелкой 531">
          <a:extLst>
            <a:ext uri="{FF2B5EF4-FFF2-40B4-BE49-F238E27FC236}">
              <a16:creationId xmlns:a16="http://schemas.microsoft.com/office/drawing/2014/main" id="{00000000-0008-0000-0300-000014020000}"/>
            </a:ext>
          </a:extLst>
        </xdr:cNvPr>
        <xdr:cNvCxnSpPr/>
      </xdr:nvCxnSpPr>
      <xdr:spPr>
        <a:xfrm>
          <a:off x="914400" y="12992100"/>
          <a:ext cx="9526" cy="733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161925</xdr:colOff>
      <xdr:row>69</xdr:row>
      <xdr:rowOff>28575</xdr:rowOff>
    </xdr:from>
    <xdr:to>
      <xdr:col>39</xdr:col>
      <xdr:colOff>171451</xdr:colOff>
      <xdr:row>73</xdr:row>
      <xdr:rowOff>0</xdr:rowOff>
    </xdr:to>
    <xdr:cxnSp macro="">
      <xdr:nvCxnSpPr>
        <xdr:cNvPr id="533" name="Прямая со стрелкой 532">
          <a:extLst>
            <a:ext uri="{FF2B5EF4-FFF2-40B4-BE49-F238E27FC236}">
              <a16:creationId xmlns:a16="http://schemas.microsoft.com/office/drawing/2014/main" id="{00000000-0008-0000-0300-000015020000}"/>
            </a:ext>
          </a:extLst>
        </xdr:cNvPr>
        <xdr:cNvCxnSpPr/>
      </xdr:nvCxnSpPr>
      <xdr:spPr>
        <a:xfrm>
          <a:off x="5943600" y="13001625"/>
          <a:ext cx="9526" cy="733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43</xdr:col>
      <xdr:colOff>304800</xdr:colOff>
      <xdr:row>69</xdr:row>
      <xdr:rowOff>19050</xdr:rowOff>
    </xdr:from>
    <xdr:to>
      <xdr:col>43</xdr:col>
      <xdr:colOff>314326</xdr:colOff>
      <xdr:row>72</xdr:row>
      <xdr:rowOff>180975</xdr:rowOff>
    </xdr:to>
    <xdr:cxnSp macro="">
      <xdr:nvCxnSpPr>
        <xdr:cNvPr id="534" name="Прямая со стрелкой 533">
          <a:extLst>
            <a:ext uri="{FF2B5EF4-FFF2-40B4-BE49-F238E27FC236}">
              <a16:creationId xmlns:a16="http://schemas.microsoft.com/office/drawing/2014/main" id="{00000000-0008-0000-0300-000016020000}"/>
            </a:ext>
          </a:extLst>
        </xdr:cNvPr>
        <xdr:cNvCxnSpPr/>
      </xdr:nvCxnSpPr>
      <xdr:spPr>
        <a:xfrm>
          <a:off x="8543925" y="12992100"/>
          <a:ext cx="9526" cy="733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152400</xdr:colOff>
      <xdr:row>69</xdr:row>
      <xdr:rowOff>19050</xdr:rowOff>
    </xdr:from>
    <xdr:to>
      <xdr:col>60</xdr:col>
      <xdr:colOff>161926</xdr:colOff>
      <xdr:row>72</xdr:row>
      <xdr:rowOff>180975</xdr:rowOff>
    </xdr:to>
    <xdr:cxnSp macro="">
      <xdr:nvCxnSpPr>
        <xdr:cNvPr id="535" name="Прямая со стрелкой 534">
          <a:extLst>
            <a:ext uri="{FF2B5EF4-FFF2-40B4-BE49-F238E27FC236}">
              <a16:creationId xmlns:a16="http://schemas.microsoft.com/office/drawing/2014/main" id="{00000000-0008-0000-0300-000017020000}"/>
            </a:ext>
          </a:extLst>
        </xdr:cNvPr>
        <xdr:cNvCxnSpPr/>
      </xdr:nvCxnSpPr>
      <xdr:spPr>
        <a:xfrm>
          <a:off x="13544550" y="12992100"/>
          <a:ext cx="9526" cy="733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295275</xdr:colOff>
      <xdr:row>107</xdr:row>
      <xdr:rowOff>19050</xdr:rowOff>
    </xdr:from>
    <xdr:to>
      <xdr:col>22</xdr:col>
      <xdr:colOff>295275</xdr:colOff>
      <xdr:row>109</xdr:row>
      <xdr:rowOff>161925</xdr:rowOff>
    </xdr:to>
    <xdr:cxnSp macro="">
      <xdr:nvCxnSpPr>
        <xdr:cNvPr id="537" name="Прямая со стрелкой 536">
          <a:extLst>
            <a:ext uri="{FF2B5EF4-FFF2-40B4-BE49-F238E27FC236}">
              <a16:creationId xmlns:a16="http://schemas.microsoft.com/office/drawing/2014/main" id="{00000000-0008-0000-0300-000019020000}"/>
            </a:ext>
          </a:extLst>
        </xdr:cNvPr>
        <xdr:cNvCxnSpPr/>
      </xdr:nvCxnSpPr>
      <xdr:spPr>
        <a:xfrm>
          <a:off x="923925" y="20164425"/>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0</xdr:colOff>
      <xdr:row>98</xdr:row>
      <xdr:rowOff>114300</xdr:rowOff>
    </xdr:from>
    <xdr:to>
      <xdr:col>24</xdr:col>
      <xdr:colOff>9525</xdr:colOff>
      <xdr:row>99</xdr:row>
      <xdr:rowOff>85725</xdr:rowOff>
    </xdr:to>
    <xdr:sp macro="" textlink="">
      <xdr:nvSpPr>
        <xdr:cNvPr id="538" name="Овал 537">
          <a:extLst>
            <a:ext uri="{FF2B5EF4-FFF2-40B4-BE49-F238E27FC236}">
              <a16:creationId xmlns:a16="http://schemas.microsoft.com/office/drawing/2014/main" id="{00000000-0008-0000-0300-00001A020000}"/>
            </a:ext>
          </a:extLst>
        </xdr:cNvPr>
        <xdr:cNvSpPr/>
      </xdr:nvSpPr>
      <xdr:spPr>
        <a:xfrm>
          <a:off x="1076325" y="12896850"/>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23</xdr:col>
      <xdr:colOff>0</xdr:colOff>
      <xdr:row>113</xdr:row>
      <xdr:rowOff>104775</xdr:rowOff>
    </xdr:from>
    <xdr:to>
      <xdr:col>24</xdr:col>
      <xdr:colOff>0</xdr:colOff>
      <xdr:row>114</xdr:row>
      <xdr:rowOff>76200</xdr:rowOff>
    </xdr:to>
    <xdr:sp macro="" textlink="">
      <xdr:nvSpPr>
        <xdr:cNvPr id="539" name="Овал 538">
          <a:extLst>
            <a:ext uri="{FF2B5EF4-FFF2-40B4-BE49-F238E27FC236}">
              <a16:creationId xmlns:a16="http://schemas.microsoft.com/office/drawing/2014/main" id="{00000000-0008-0000-0300-00001B020000}"/>
            </a:ext>
          </a:extLst>
        </xdr:cNvPr>
        <xdr:cNvSpPr/>
      </xdr:nvSpPr>
      <xdr:spPr>
        <a:xfrm>
          <a:off x="1076325" y="15744825"/>
          <a:ext cx="152400"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22</xdr:col>
      <xdr:colOff>304800</xdr:colOff>
      <xdr:row>96</xdr:row>
      <xdr:rowOff>0</xdr:rowOff>
    </xdr:from>
    <xdr:to>
      <xdr:col>22</xdr:col>
      <xdr:colOff>304800</xdr:colOff>
      <xdr:row>98</xdr:row>
      <xdr:rowOff>180975</xdr:rowOff>
    </xdr:to>
    <xdr:cxnSp macro="">
      <xdr:nvCxnSpPr>
        <xdr:cNvPr id="540" name="Прямая со стрелкой 539">
          <a:extLst>
            <a:ext uri="{FF2B5EF4-FFF2-40B4-BE49-F238E27FC236}">
              <a16:creationId xmlns:a16="http://schemas.microsoft.com/office/drawing/2014/main" id="{00000000-0008-0000-0300-00001C020000}"/>
            </a:ext>
          </a:extLst>
        </xdr:cNvPr>
        <xdr:cNvCxnSpPr/>
      </xdr:nvCxnSpPr>
      <xdr:spPr>
        <a:xfrm>
          <a:off x="933450" y="12449175"/>
          <a:ext cx="0" cy="51435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295275</xdr:colOff>
      <xdr:row>114</xdr:row>
      <xdr:rowOff>0</xdr:rowOff>
    </xdr:from>
    <xdr:to>
      <xdr:col>22</xdr:col>
      <xdr:colOff>295275</xdr:colOff>
      <xdr:row>116</xdr:row>
      <xdr:rowOff>133350</xdr:rowOff>
    </xdr:to>
    <xdr:cxnSp macro="">
      <xdr:nvCxnSpPr>
        <xdr:cNvPr id="541" name="Прямая со стрелкой 540">
          <a:extLst>
            <a:ext uri="{FF2B5EF4-FFF2-40B4-BE49-F238E27FC236}">
              <a16:creationId xmlns:a16="http://schemas.microsoft.com/office/drawing/2014/main" id="{00000000-0008-0000-0300-00001D020000}"/>
            </a:ext>
          </a:extLst>
        </xdr:cNvPr>
        <xdr:cNvCxnSpPr/>
      </xdr:nvCxnSpPr>
      <xdr:spPr>
        <a:xfrm>
          <a:off x="923925" y="15830550"/>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600075</xdr:colOff>
      <xdr:row>98</xdr:row>
      <xdr:rowOff>104775</xdr:rowOff>
    </xdr:from>
    <xdr:to>
      <xdr:col>39</xdr:col>
      <xdr:colOff>0</xdr:colOff>
      <xdr:row>99</xdr:row>
      <xdr:rowOff>76200</xdr:rowOff>
    </xdr:to>
    <xdr:sp macro="" textlink="">
      <xdr:nvSpPr>
        <xdr:cNvPr id="542" name="Овал 541">
          <a:extLst>
            <a:ext uri="{FF2B5EF4-FFF2-40B4-BE49-F238E27FC236}">
              <a16:creationId xmlns:a16="http://schemas.microsoft.com/office/drawing/2014/main" id="{00000000-0008-0000-0300-00001E020000}"/>
            </a:ext>
          </a:extLst>
        </xdr:cNvPr>
        <xdr:cNvSpPr/>
      </xdr:nvSpPr>
      <xdr:spPr>
        <a:xfrm>
          <a:off x="5619750" y="1288732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38</xdr:col>
      <xdr:colOff>0</xdr:colOff>
      <xdr:row>113</xdr:row>
      <xdr:rowOff>114300</xdr:rowOff>
    </xdr:from>
    <xdr:to>
      <xdr:col>39</xdr:col>
      <xdr:colOff>0</xdr:colOff>
      <xdr:row>114</xdr:row>
      <xdr:rowOff>85725</xdr:rowOff>
    </xdr:to>
    <xdr:sp macro="" textlink="">
      <xdr:nvSpPr>
        <xdr:cNvPr id="543" name="Овал 542">
          <a:extLst>
            <a:ext uri="{FF2B5EF4-FFF2-40B4-BE49-F238E27FC236}">
              <a16:creationId xmlns:a16="http://schemas.microsoft.com/office/drawing/2014/main" id="{00000000-0008-0000-0300-00001F020000}"/>
            </a:ext>
          </a:extLst>
        </xdr:cNvPr>
        <xdr:cNvSpPr/>
      </xdr:nvSpPr>
      <xdr:spPr>
        <a:xfrm>
          <a:off x="5629275" y="15754350"/>
          <a:ext cx="152400"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39</xdr:col>
      <xdr:colOff>161925</xdr:colOff>
      <xdr:row>96</xdr:row>
      <xdr:rowOff>9525</xdr:rowOff>
    </xdr:from>
    <xdr:to>
      <xdr:col>39</xdr:col>
      <xdr:colOff>161925</xdr:colOff>
      <xdr:row>99</xdr:row>
      <xdr:rowOff>0</xdr:rowOff>
    </xdr:to>
    <xdr:cxnSp macro="">
      <xdr:nvCxnSpPr>
        <xdr:cNvPr id="544" name="Прямая со стрелкой 543">
          <a:extLst>
            <a:ext uri="{FF2B5EF4-FFF2-40B4-BE49-F238E27FC236}">
              <a16:creationId xmlns:a16="http://schemas.microsoft.com/office/drawing/2014/main" id="{00000000-0008-0000-0300-000020020000}"/>
            </a:ext>
          </a:extLst>
        </xdr:cNvPr>
        <xdr:cNvCxnSpPr/>
      </xdr:nvCxnSpPr>
      <xdr:spPr>
        <a:xfrm>
          <a:off x="5943600" y="12458700"/>
          <a:ext cx="0" cy="51435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171450</xdr:colOff>
      <xdr:row>114</xdr:row>
      <xdr:rowOff>9525</xdr:rowOff>
    </xdr:from>
    <xdr:to>
      <xdr:col>39</xdr:col>
      <xdr:colOff>171450</xdr:colOff>
      <xdr:row>117</xdr:row>
      <xdr:rowOff>0</xdr:rowOff>
    </xdr:to>
    <xdr:cxnSp macro="">
      <xdr:nvCxnSpPr>
        <xdr:cNvPr id="545" name="Прямая со стрелкой 544">
          <a:extLst>
            <a:ext uri="{FF2B5EF4-FFF2-40B4-BE49-F238E27FC236}">
              <a16:creationId xmlns:a16="http://schemas.microsoft.com/office/drawing/2014/main" id="{00000000-0008-0000-0300-000021020000}"/>
            </a:ext>
          </a:extLst>
        </xdr:cNvPr>
        <xdr:cNvCxnSpPr/>
      </xdr:nvCxnSpPr>
      <xdr:spPr>
        <a:xfrm>
          <a:off x="5953125" y="15840075"/>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630</xdr:colOff>
      <xdr:row>95</xdr:row>
      <xdr:rowOff>4057</xdr:rowOff>
    </xdr:from>
    <xdr:to>
      <xdr:col>29</xdr:col>
      <xdr:colOff>0</xdr:colOff>
      <xdr:row>95</xdr:row>
      <xdr:rowOff>8283</xdr:rowOff>
    </xdr:to>
    <xdr:cxnSp macro="">
      <xdr:nvCxnSpPr>
        <xdr:cNvPr id="546" name="Прямая со стрелкой 545">
          <a:extLst>
            <a:ext uri="{FF2B5EF4-FFF2-40B4-BE49-F238E27FC236}">
              <a16:creationId xmlns:a16="http://schemas.microsoft.com/office/drawing/2014/main" id="{00000000-0008-0000-0300-000022020000}"/>
            </a:ext>
          </a:extLst>
        </xdr:cNvPr>
        <xdr:cNvCxnSpPr/>
      </xdr:nvCxnSpPr>
      <xdr:spPr>
        <a:xfrm flipH="1" flipV="1">
          <a:off x="1076955" y="12253207"/>
          <a:ext cx="1637670" cy="4226"/>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459486</xdr:colOff>
      <xdr:row>95</xdr:row>
      <xdr:rowOff>7370</xdr:rowOff>
    </xdr:from>
    <xdr:to>
      <xdr:col>38</xdr:col>
      <xdr:colOff>144117</xdr:colOff>
      <xdr:row>95</xdr:row>
      <xdr:rowOff>11596</xdr:rowOff>
    </xdr:to>
    <xdr:cxnSp macro="">
      <xdr:nvCxnSpPr>
        <xdr:cNvPr id="547" name="Прямая со стрелкой 546">
          <a:extLst>
            <a:ext uri="{FF2B5EF4-FFF2-40B4-BE49-F238E27FC236}">
              <a16:creationId xmlns:a16="http://schemas.microsoft.com/office/drawing/2014/main" id="{00000000-0008-0000-0300-000023020000}"/>
            </a:ext>
          </a:extLst>
        </xdr:cNvPr>
        <xdr:cNvCxnSpPr/>
      </xdr:nvCxnSpPr>
      <xdr:spPr>
        <a:xfrm flipH="1" flipV="1">
          <a:off x="4136136" y="12256520"/>
          <a:ext cx="1637256" cy="4226"/>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231913</xdr:colOff>
      <xdr:row>96</xdr:row>
      <xdr:rowOff>13926</xdr:rowOff>
    </xdr:from>
    <xdr:to>
      <xdr:col>30</xdr:col>
      <xdr:colOff>244855</xdr:colOff>
      <xdr:row>117</xdr:row>
      <xdr:rowOff>0</xdr:rowOff>
    </xdr:to>
    <xdr:cxnSp macro="">
      <xdr:nvCxnSpPr>
        <xdr:cNvPr id="548" name="Прямая со стрелкой 547">
          <a:extLst>
            <a:ext uri="{FF2B5EF4-FFF2-40B4-BE49-F238E27FC236}">
              <a16:creationId xmlns:a16="http://schemas.microsoft.com/office/drawing/2014/main" id="{00000000-0008-0000-0300-000024020000}"/>
            </a:ext>
          </a:extLst>
        </xdr:cNvPr>
        <xdr:cNvCxnSpPr/>
      </xdr:nvCxnSpPr>
      <xdr:spPr>
        <a:xfrm flipH="1">
          <a:off x="3413263" y="12463101"/>
          <a:ext cx="12942" cy="3900849"/>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0</xdr:colOff>
      <xdr:row>109</xdr:row>
      <xdr:rowOff>114300</xdr:rowOff>
    </xdr:from>
    <xdr:to>
      <xdr:col>24</xdr:col>
      <xdr:colOff>9525</xdr:colOff>
      <xdr:row>110</xdr:row>
      <xdr:rowOff>85725</xdr:rowOff>
    </xdr:to>
    <xdr:sp macro="" textlink="">
      <xdr:nvSpPr>
        <xdr:cNvPr id="549" name="Овал 548">
          <a:extLst>
            <a:ext uri="{FF2B5EF4-FFF2-40B4-BE49-F238E27FC236}">
              <a16:creationId xmlns:a16="http://schemas.microsoft.com/office/drawing/2014/main" id="{00000000-0008-0000-0300-000025020000}"/>
            </a:ext>
          </a:extLst>
        </xdr:cNvPr>
        <xdr:cNvSpPr/>
      </xdr:nvSpPr>
      <xdr:spPr>
        <a:xfrm>
          <a:off x="1076325" y="14992350"/>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22</xdr:col>
      <xdr:colOff>295275</xdr:colOff>
      <xdr:row>110</xdr:row>
      <xdr:rowOff>9525</xdr:rowOff>
    </xdr:from>
    <xdr:to>
      <xdr:col>22</xdr:col>
      <xdr:colOff>304801</xdr:colOff>
      <xdr:row>113</xdr:row>
      <xdr:rowOff>171450</xdr:rowOff>
    </xdr:to>
    <xdr:cxnSp macro="">
      <xdr:nvCxnSpPr>
        <xdr:cNvPr id="550" name="Прямая со стрелкой 549">
          <a:extLst>
            <a:ext uri="{FF2B5EF4-FFF2-40B4-BE49-F238E27FC236}">
              <a16:creationId xmlns:a16="http://schemas.microsoft.com/office/drawing/2014/main" id="{00000000-0008-0000-0300-000026020000}"/>
            </a:ext>
          </a:extLst>
        </xdr:cNvPr>
        <xdr:cNvCxnSpPr/>
      </xdr:nvCxnSpPr>
      <xdr:spPr>
        <a:xfrm>
          <a:off x="923925" y="15078075"/>
          <a:ext cx="9526" cy="733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43</xdr:col>
      <xdr:colOff>295275</xdr:colOff>
      <xdr:row>95</xdr:row>
      <xdr:rowOff>4057</xdr:rowOff>
    </xdr:from>
    <xdr:to>
      <xdr:col>60</xdr:col>
      <xdr:colOff>161925</xdr:colOff>
      <xdr:row>118</xdr:row>
      <xdr:rowOff>74557</xdr:rowOff>
    </xdr:to>
    <xdr:grpSp>
      <xdr:nvGrpSpPr>
        <xdr:cNvPr id="551" name="Группа 550">
          <a:extLst>
            <a:ext uri="{FF2B5EF4-FFF2-40B4-BE49-F238E27FC236}">
              <a16:creationId xmlns:a16="http://schemas.microsoft.com/office/drawing/2014/main" id="{00000000-0008-0000-0300-000027020000}"/>
            </a:ext>
          </a:extLst>
        </xdr:cNvPr>
        <xdr:cNvGrpSpPr/>
      </xdr:nvGrpSpPr>
      <xdr:grpSpPr>
        <a:xfrm>
          <a:off x="15946849" y="17701742"/>
          <a:ext cx="4993687" cy="4327352"/>
          <a:chOff x="8534400" y="956557"/>
          <a:chExt cx="5019675" cy="4375800"/>
        </a:xfrm>
      </xdr:grpSpPr>
      <xdr:sp macro="" textlink="">
        <xdr:nvSpPr>
          <xdr:cNvPr id="552" name="Овал 551">
            <a:extLst>
              <a:ext uri="{FF2B5EF4-FFF2-40B4-BE49-F238E27FC236}">
                <a16:creationId xmlns:a16="http://schemas.microsoft.com/office/drawing/2014/main" id="{00000000-0008-0000-0300-000028020000}"/>
              </a:ext>
            </a:extLst>
          </xdr:cNvPr>
          <xdr:cNvSpPr/>
        </xdr:nvSpPr>
        <xdr:spPr>
          <a:xfrm>
            <a:off x="8686800" y="1600200"/>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sp macro="" textlink="">
        <xdr:nvSpPr>
          <xdr:cNvPr id="553" name="Овал 552">
            <a:extLst>
              <a:ext uri="{FF2B5EF4-FFF2-40B4-BE49-F238E27FC236}">
                <a16:creationId xmlns:a16="http://schemas.microsoft.com/office/drawing/2014/main" id="{00000000-0008-0000-0300-000029020000}"/>
              </a:ext>
            </a:extLst>
          </xdr:cNvPr>
          <xdr:cNvSpPr/>
        </xdr:nvSpPr>
        <xdr:spPr>
          <a:xfrm>
            <a:off x="8686800" y="4448175"/>
            <a:ext cx="152400"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xnSp macro="">
        <xdr:nvCxnSpPr>
          <xdr:cNvPr id="554" name="Прямая со стрелкой 553">
            <a:extLst>
              <a:ext uri="{FF2B5EF4-FFF2-40B4-BE49-F238E27FC236}">
                <a16:creationId xmlns:a16="http://schemas.microsoft.com/office/drawing/2014/main" id="{00000000-0008-0000-0300-00002A020000}"/>
              </a:ext>
            </a:extLst>
          </xdr:cNvPr>
          <xdr:cNvCxnSpPr/>
        </xdr:nvCxnSpPr>
        <xdr:spPr>
          <a:xfrm>
            <a:off x="8543925" y="1152525"/>
            <a:ext cx="0" cy="51435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55" name="Прямая со стрелкой 554">
            <a:extLst>
              <a:ext uri="{FF2B5EF4-FFF2-40B4-BE49-F238E27FC236}">
                <a16:creationId xmlns:a16="http://schemas.microsoft.com/office/drawing/2014/main" id="{00000000-0008-0000-0300-00002B020000}"/>
              </a:ext>
            </a:extLst>
          </xdr:cNvPr>
          <xdr:cNvCxnSpPr/>
        </xdr:nvCxnSpPr>
        <xdr:spPr>
          <a:xfrm>
            <a:off x="8534400" y="4533900"/>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556" name="Овал 555">
            <a:extLst>
              <a:ext uri="{FF2B5EF4-FFF2-40B4-BE49-F238E27FC236}">
                <a16:creationId xmlns:a16="http://schemas.microsoft.com/office/drawing/2014/main" id="{00000000-0008-0000-0300-00002C020000}"/>
              </a:ext>
            </a:extLst>
          </xdr:cNvPr>
          <xdr:cNvSpPr/>
        </xdr:nvSpPr>
        <xdr:spPr>
          <a:xfrm>
            <a:off x="13230225" y="159067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sp macro="" textlink="">
        <xdr:nvSpPr>
          <xdr:cNvPr id="557" name="Овал 556">
            <a:extLst>
              <a:ext uri="{FF2B5EF4-FFF2-40B4-BE49-F238E27FC236}">
                <a16:creationId xmlns:a16="http://schemas.microsoft.com/office/drawing/2014/main" id="{00000000-0008-0000-0300-00002D020000}"/>
              </a:ext>
            </a:extLst>
          </xdr:cNvPr>
          <xdr:cNvSpPr/>
        </xdr:nvSpPr>
        <xdr:spPr>
          <a:xfrm>
            <a:off x="13239750" y="4457700"/>
            <a:ext cx="152400"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xnSp macro="">
        <xdr:nvCxnSpPr>
          <xdr:cNvPr id="558" name="Прямая со стрелкой 557">
            <a:extLst>
              <a:ext uri="{FF2B5EF4-FFF2-40B4-BE49-F238E27FC236}">
                <a16:creationId xmlns:a16="http://schemas.microsoft.com/office/drawing/2014/main" id="{00000000-0008-0000-0300-00002E020000}"/>
              </a:ext>
            </a:extLst>
          </xdr:cNvPr>
          <xdr:cNvCxnSpPr/>
        </xdr:nvCxnSpPr>
        <xdr:spPr>
          <a:xfrm>
            <a:off x="13554075" y="1162050"/>
            <a:ext cx="0" cy="51435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59" name="Прямая со стрелкой 558">
            <a:extLst>
              <a:ext uri="{FF2B5EF4-FFF2-40B4-BE49-F238E27FC236}">
                <a16:creationId xmlns:a16="http://schemas.microsoft.com/office/drawing/2014/main" id="{00000000-0008-0000-0300-00002F020000}"/>
              </a:ext>
            </a:extLst>
          </xdr:cNvPr>
          <xdr:cNvCxnSpPr/>
        </xdr:nvCxnSpPr>
        <xdr:spPr>
          <a:xfrm>
            <a:off x="13544550" y="4543425"/>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560" name="Овал 559">
            <a:extLst>
              <a:ext uri="{FF2B5EF4-FFF2-40B4-BE49-F238E27FC236}">
                <a16:creationId xmlns:a16="http://schemas.microsoft.com/office/drawing/2014/main" id="{00000000-0008-0000-0300-000030020000}"/>
              </a:ext>
            </a:extLst>
          </xdr:cNvPr>
          <xdr:cNvSpPr/>
        </xdr:nvSpPr>
        <xdr:spPr>
          <a:xfrm>
            <a:off x="12012216" y="4108847"/>
            <a:ext cx="76200" cy="85725"/>
          </a:xfrm>
          <a:prstGeom prst="ellipse">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sp macro="" textlink="">
        <xdr:nvSpPr>
          <xdr:cNvPr id="561" name="Овал 560">
            <a:extLst>
              <a:ext uri="{FF2B5EF4-FFF2-40B4-BE49-F238E27FC236}">
                <a16:creationId xmlns:a16="http://schemas.microsoft.com/office/drawing/2014/main" id="{00000000-0008-0000-0300-000031020000}"/>
              </a:ext>
            </a:extLst>
          </xdr:cNvPr>
          <xdr:cNvSpPr/>
        </xdr:nvSpPr>
        <xdr:spPr>
          <a:xfrm>
            <a:off x="12003039" y="4680857"/>
            <a:ext cx="82826" cy="87796"/>
          </a:xfrm>
          <a:prstGeom prst="ellipse">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xnSp macro="">
        <xdr:nvCxnSpPr>
          <xdr:cNvPr id="562" name="Прямая со стрелкой 561">
            <a:extLst>
              <a:ext uri="{FF2B5EF4-FFF2-40B4-BE49-F238E27FC236}">
                <a16:creationId xmlns:a16="http://schemas.microsoft.com/office/drawing/2014/main" id="{00000000-0008-0000-0300-000032020000}"/>
              </a:ext>
            </a:extLst>
          </xdr:cNvPr>
          <xdr:cNvCxnSpPr/>
        </xdr:nvCxnSpPr>
        <xdr:spPr>
          <a:xfrm>
            <a:off x="11619310" y="4146947"/>
            <a:ext cx="0" cy="567928"/>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63" name="Прямая со стрелкой 562">
            <a:extLst>
              <a:ext uri="{FF2B5EF4-FFF2-40B4-BE49-F238E27FC236}">
                <a16:creationId xmlns:a16="http://schemas.microsoft.com/office/drawing/2014/main" id="{00000000-0008-0000-0300-000033020000}"/>
              </a:ext>
            </a:extLst>
          </xdr:cNvPr>
          <xdr:cNvCxnSpPr/>
        </xdr:nvCxnSpPr>
        <xdr:spPr>
          <a:xfrm>
            <a:off x="11619970" y="4723929"/>
            <a:ext cx="0" cy="340829"/>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64" name="Прямая со стрелкой 563">
            <a:extLst>
              <a:ext uri="{FF2B5EF4-FFF2-40B4-BE49-F238E27FC236}">
                <a16:creationId xmlns:a16="http://schemas.microsoft.com/office/drawing/2014/main" id="{00000000-0008-0000-0300-000034020000}"/>
              </a:ext>
            </a:extLst>
          </xdr:cNvPr>
          <xdr:cNvCxnSpPr/>
        </xdr:nvCxnSpPr>
        <xdr:spPr>
          <a:xfrm flipH="1">
            <a:off x="11757463" y="5301854"/>
            <a:ext cx="282876" cy="61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565" name="Овал 564">
            <a:extLst>
              <a:ext uri="{FF2B5EF4-FFF2-40B4-BE49-F238E27FC236}">
                <a16:creationId xmlns:a16="http://schemas.microsoft.com/office/drawing/2014/main" id="{00000000-0008-0000-0300-000035020000}"/>
              </a:ext>
            </a:extLst>
          </xdr:cNvPr>
          <xdr:cNvSpPr/>
        </xdr:nvSpPr>
        <xdr:spPr>
          <a:xfrm>
            <a:off x="9990001" y="4107205"/>
            <a:ext cx="78499" cy="85725"/>
          </a:xfrm>
          <a:prstGeom prst="ellipse">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sp macro="" textlink="">
        <xdr:nvSpPr>
          <xdr:cNvPr id="566" name="Овал 565">
            <a:extLst>
              <a:ext uri="{FF2B5EF4-FFF2-40B4-BE49-F238E27FC236}">
                <a16:creationId xmlns:a16="http://schemas.microsoft.com/office/drawing/2014/main" id="{00000000-0008-0000-0300-000036020000}"/>
              </a:ext>
            </a:extLst>
          </xdr:cNvPr>
          <xdr:cNvSpPr/>
        </xdr:nvSpPr>
        <xdr:spPr>
          <a:xfrm>
            <a:off x="9987585" y="4674811"/>
            <a:ext cx="78499" cy="85725"/>
          </a:xfrm>
          <a:prstGeom prst="ellipse">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xnSp macro="">
        <xdr:nvCxnSpPr>
          <xdr:cNvPr id="567" name="Прямая со стрелкой 566">
            <a:extLst>
              <a:ext uri="{FF2B5EF4-FFF2-40B4-BE49-F238E27FC236}">
                <a16:creationId xmlns:a16="http://schemas.microsoft.com/office/drawing/2014/main" id="{00000000-0008-0000-0300-000037020000}"/>
              </a:ext>
            </a:extLst>
          </xdr:cNvPr>
          <xdr:cNvCxnSpPr/>
        </xdr:nvCxnSpPr>
        <xdr:spPr>
          <a:xfrm>
            <a:off x="10469288" y="4719145"/>
            <a:ext cx="0" cy="344542"/>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68" name="Прямая со стрелкой 567">
            <a:extLst>
              <a:ext uri="{FF2B5EF4-FFF2-40B4-BE49-F238E27FC236}">
                <a16:creationId xmlns:a16="http://schemas.microsoft.com/office/drawing/2014/main" id="{00000000-0008-0000-0300-000038020000}"/>
              </a:ext>
            </a:extLst>
          </xdr:cNvPr>
          <xdr:cNvCxnSpPr/>
        </xdr:nvCxnSpPr>
        <xdr:spPr>
          <a:xfrm flipH="1">
            <a:off x="10037708" y="5331742"/>
            <a:ext cx="281562" cy="61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69" name="Прямая со стрелкой 568">
            <a:extLst>
              <a:ext uri="{FF2B5EF4-FFF2-40B4-BE49-F238E27FC236}">
                <a16:creationId xmlns:a16="http://schemas.microsoft.com/office/drawing/2014/main" id="{00000000-0008-0000-0300-000039020000}"/>
              </a:ext>
            </a:extLst>
          </xdr:cNvPr>
          <xdr:cNvCxnSpPr/>
        </xdr:nvCxnSpPr>
        <xdr:spPr>
          <a:xfrm>
            <a:off x="10468550" y="4142349"/>
            <a:ext cx="0" cy="567928"/>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570" name="Овал 569">
            <a:extLst>
              <a:ext uri="{FF2B5EF4-FFF2-40B4-BE49-F238E27FC236}">
                <a16:creationId xmlns:a16="http://schemas.microsoft.com/office/drawing/2014/main" id="{00000000-0008-0000-0300-00003A020000}"/>
              </a:ext>
            </a:extLst>
          </xdr:cNvPr>
          <xdr:cNvSpPr/>
        </xdr:nvSpPr>
        <xdr:spPr>
          <a:xfrm>
            <a:off x="12596191" y="4680089"/>
            <a:ext cx="77857" cy="85725"/>
          </a:xfrm>
          <a:prstGeom prst="ellipse">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sp macro="" textlink="">
        <xdr:nvSpPr>
          <xdr:cNvPr id="571" name="Овал 570">
            <a:extLst>
              <a:ext uri="{FF2B5EF4-FFF2-40B4-BE49-F238E27FC236}">
                <a16:creationId xmlns:a16="http://schemas.microsoft.com/office/drawing/2014/main" id="{00000000-0008-0000-0300-00003B020000}"/>
              </a:ext>
            </a:extLst>
          </xdr:cNvPr>
          <xdr:cNvSpPr/>
        </xdr:nvSpPr>
        <xdr:spPr>
          <a:xfrm>
            <a:off x="9418983" y="4682987"/>
            <a:ext cx="70817" cy="85725"/>
          </a:xfrm>
          <a:prstGeom prst="ellipse">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xnSp macro="">
        <xdr:nvCxnSpPr>
          <xdr:cNvPr id="572" name="Прямая со стрелкой 571">
            <a:extLst>
              <a:ext uri="{FF2B5EF4-FFF2-40B4-BE49-F238E27FC236}">
                <a16:creationId xmlns:a16="http://schemas.microsoft.com/office/drawing/2014/main" id="{00000000-0008-0000-0300-00003C020000}"/>
              </a:ext>
            </a:extLst>
          </xdr:cNvPr>
          <xdr:cNvCxnSpPr/>
        </xdr:nvCxnSpPr>
        <xdr:spPr>
          <a:xfrm flipH="1" flipV="1">
            <a:off x="12031533" y="5304511"/>
            <a:ext cx="589092" cy="2571"/>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73" name="Прямая со стрелкой 572">
            <a:extLst>
              <a:ext uri="{FF2B5EF4-FFF2-40B4-BE49-F238E27FC236}">
                <a16:creationId xmlns:a16="http://schemas.microsoft.com/office/drawing/2014/main" id="{00000000-0008-0000-0300-00003D020000}"/>
              </a:ext>
            </a:extLst>
          </xdr:cNvPr>
          <xdr:cNvCxnSpPr/>
        </xdr:nvCxnSpPr>
        <xdr:spPr>
          <a:xfrm flipH="1" flipV="1">
            <a:off x="9441147" y="5329359"/>
            <a:ext cx="586193" cy="2571"/>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74" name="Прямая со стрелкой 573">
            <a:extLst>
              <a:ext uri="{FF2B5EF4-FFF2-40B4-BE49-F238E27FC236}">
                <a16:creationId xmlns:a16="http://schemas.microsoft.com/office/drawing/2014/main" id="{00000000-0008-0000-0300-00003E020000}"/>
              </a:ext>
            </a:extLst>
          </xdr:cNvPr>
          <xdr:cNvCxnSpPr/>
        </xdr:nvCxnSpPr>
        <xdr:spPr>
          <a:xfrm flipH="1" flipV="1">
            <a:off x="8687430" y="956557"/>
            <a:ext cx="1637670" cy="4226"/>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75" name="Прямая со стрелкой 574">
            <a:extLst>
              <a:ext uri="{FF2B5EF4-FFF2-40B4-BE49-F238E27FC236}">
                <a16:creationId xmlns:a16="http://schemas.microsoft.com/office/drawing/2014/main" id="{00000000-0008-0000-0300-00003F020000}"/>
              </a:ext>
            </a:extLst>
          </xdr:cNvPr>
          <xdr:cNvCxnSpPr/>
        </xdr:nvCxnSpPr>
        <xdr:spPr>
          <a:xfrm flipH="1" flipV="1">
            <a:off x="11746611" y="959870"/>
            <a:ext cx="1637256" cy="4226"/>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76" name="Прямая со стрелкой 575">
            <a:extLst>
              <a:ext uri="{FF2B5EF4-FFF2-40B4-BE49-F238E27FC236}">
                <a16:creationId xmlns:a16="http://schemas.microsoft.com/office/drawing/2014/main" id="{00000000-0008-0000-0300-000040020000}"/>
              </a:ext>
            </a:extLst>
          </xdr:cNvPr>
          <xdr:cNvCxnSpPr/>
        </xdr:nvCxnSpPr>
        <xdr:spPr>
          <a:xfrm flipH="1">
            <a:off x="11023738" y="1166451"/>
            <a:ext cx="12942" cy="3900849"/>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grpSp>
        <xdr:nvGrpSpPr>
          <xdr:cNvPr id="577" name="Группа 576">
            <a:extLst>
              <a:ext uri="{FF2B5EF4-FFF2-40B4-BE49-F238E27FC236}">
                <a16:creationId xmlns:a16="http://schemas.microsoft.com/office/drawing/2014/main" id="{00000000-0008-0000-0300-000041020000}"/>
              </a:ext>
            </a:extLst>
          </xdr:cNvPr>
          <xdr:cNvGrpSpPr/>
        </xdr:nvGrpSpPr>
        <xdr:grpSpPr>
          <a:xfrm>
            <a:off x="12106135" y="3943350"/>
            <a:ext cx="540580" cy="159001"/>
            <a:chOff x="4451348" y="3768587"/>
            <a:chExt cx="543065" cy="159001"/>
          </a:xfrm>
        </xdr:grpSpPr>
        <xdr:cxnSp macro="">
          <xdr:nvCxnSpPr>
            <xdr:cNvPr id="586" name="Прямая со стрелкой 585">
              <a:extLst>
                <a:ext uri="{FF2B5EF4-FFF2-40B4-BE49-F238E27FC236}">
                  <a16:creationId xmlns:a16="http://schemas.microsoft.com/office/drawing/2014/main" id="{00000000-0008-0000-0300-00004A020000}"/>
                </a:ext>
              </a:extLst>
            </xdr:cNvPr>
            <xdr:cNvCxnSpPr>
              <a:endCxn id="560" idx="7"/>
            </xdr:cNvCxnSpPr>
          </xdr:nvCxnSpPr>
          <xdr:spPr>
            <a:xfrm flipH="1">
              <a:off x="4451348" y="3776870"/>
              <a:ext cx="145500" cy="150718"/>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87" name="Прямая соединительная линия 586">
              <a:extLst>
                <a:ext uri="{FF2B5EF4-FFF2-40B4-BE49-F238E27FC236}">
                  <a16:creationId xmlns:a16="http://schemas.microsoft.com/office/drawing/2014/main" id="{00000000-0008-0000-0300-00004B020000}"/>
                </a:ext>
              </a:extLst>
            </xdr:cNvPr>
            <xdr:cNvCxnSpPr/>
          </xdr:nvCxnSpPr>
          <xdr:spPr>
            <a:xfrm>
              <a:off x="4596848" y="3768587"/>
              <a:ext cx="397565" cy="1"/>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grpSp>
      <xdr:grpSp>
        <xdr:nvGrpSpPr>
          <xdr:cNvPr id="578" name="Группа 577">
            <a:extLst>
              <a:ext uri="{FF2B5EF4-FFF2-40B4-BE49-F238E27FC236}">
                <a16:creationId xmlns:a16="http://schemas.microsoft.com/office/drawing/2014/main" id="{00000000-0008-0000-0300-000042020000}"/>
              </a:ext>
            </a:extLst>
          </xdr:cNvPr>
          <xdr:cNvGrpSpPr/>
        </xdr:nvGrpSpPr>
        <xdr:grpSpPr>
          <a:xfrm>
            <a:off x="9452114" y="3973996"/>
            <a:ext cx="549747" cy="145763"/>
            <a:chOff x="9452114" y="3973996"/>
            <a:chExt cx="549747" cy="145763"/>
          </a:xfrm>
        </xdr:grpSpPr>
        <xdr:cxnSp macro="">
          <xdr:nvCxnSpPr>
            <xdr:cNvPr id="584" name="Прямая со стрелкой 583">
              <a:extLst>
                <a:ext uri="{FF2B5EF4-FFF2-40B4-BE49-F238E27FC236}">
                  <a16:creationId xmlns:a16="http://schemas.microsoft.com/office/drawing/2014/main" id="{00000000-0008-0000-0300-000048020000}"/>
                </a:ext>
              </a:extLst>
            </xdr:cNvPr>
            <xdr:cNvCxnSpPr>
              <a:endCxn id="565" idx="1"/>
            </xdr:cNvCxnSpPr>
          </xdr:nvCxnSpPr>
          <xdr:spPr>
            <a:xfrm>
              <a:off x="9836841" y="3973996"/>
              <a:ext cx="165020" cy="14576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85" name="Прямая соединительная линия 584">
              <a:extLst>
                <a:ext uri="{FF2B5EF4-FFF2-40B4-BE49-F238E27FC236}">
                  <a16:creationId xmlns:a16="http://schemas.microsoft.com/office/drawing/2014/main" id="{00000000-0008-0000-0300-000049020000}"/>
                </a:ext>
              </a:extLst>
            </xdr:cNvPr>
            <xdr:cNvCxnSpPr/>
          </xdr:nvCxnSpPr>
          <xdr:spPr>
            <a:xfrm>
              <a:off x="9452114" y="3973996"/>
              <a:ext cx="401292" cy="1"/>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grpSp>
      <xdr:grpSp>
        <xdr:nvGrpSpPr>
          <xdr:cNvPr id="579" name="Группа 578">
            <a:extLst>
              <a:ext uri="{FF2B5EF4-FFF2-40B4-BE49-F238E27FC236}">
                <a16:creationId xmlns:a16="http://schemas.microsoft.com/office/drawing/2014/main" id="{00000000-0008-0000-0300-000043020000}"/>
              </a:ext>
            </a:extLst>
          </xdr:cNvPr>
          <xdr:cNvGrpSpPr/>
        </xdr:nvGrpSpPr>
        <xdr:grpSpPr>
          <a:xfrm>
            <a:off x="9449411" y="4514850"/>
            <a:ext cx="542314" cy="157359"/>
            <a:chOff x="9449411" y="4514850"/>
            <a:chExt cx="542314" cy="157359"/>
          </a:xfrm>
        </xdr:grpSpPr>
        <xdr:cxnSp macro="">
          <xdr:nvCxnSpPr>
            <xdr:cNvPr id="582" name="Прямая со стрелкой 581">
              <a:extLst>
                <a:ext uri="{FF2B5EF4-FFF2-40B4-BE49-F238E27FC236}">
                  <a16:creationId xmlns:a16="http://schemas.microsoft.com/office/drawing/2014/main" id="{00000000-0008-0000-0300-000046020000}"/>
                </a:ext>
              </a:extLst>
            </xdr:cNvPr>
            <xdr:cNvCxnSpPr/>
          </xdr:nvCxnSpPr>
          <xdr:spPr>
            <a:xfrm flipH="1">
              <a:off x="9449411" y="4514850"/>
              <a:ext cx="56539" cy="157359"/>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83" name="Прямая соединительная линия 582">
              <a:extLst>
                <a:ext uri="{FF2B5EF4-FFF2-40B4-BE49-F238E27FC236}">
                  <a16:creationId xmlns:a16="http://schemas.microsoft.com/office/drawing/2014/main" id="{00000000-0008-0000-0300-000047020000}"/>
                </a:ext>
              </a:extLst>
            </xdr:cNvPr>
            <xdr:cNvCxnSpPr/>
          </xdr:nvCxnSpPr>
          <xdr:spPr>
            <a:xfrm>
              <a:off x="9486900" y="4524375"/>
              <a:ext cx="50482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grpSp>
      <xdr:cxnSp macro="">
        <xdr:nvCxnSpPr>
          <xdr:cNvPr id="580" name="Прямая со стрелкой 579">
            <a:extLst>
              <a:ext uri="{FF2B5EF4-FFF2-40B4-BE49-F238E27FC236}">
                <a16:creationId xmlns:a16="http://schemas.microsoft.com/office/drawing/2014/main" id="{00000000-0008-0000-0300-000044020000}"/>
              </a:ext>
            </a:extLst>
          </xdr:cNvPr>
          <xdr:cNvCxnSpPr/>
        </xdr:nvCxnSpPr>
        <xdr:spPr>
          <a:xfrm>
            <a:off x="12515850" y="4533900"/>
            <a:ext cx="95250" cy="14287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81" name="Прямая соединительная линия 580">
            <a:extLst>
              <a:ext uri="{FF2B5EF4-FFF2-40B4-BE49-F238E27FC236}">
                <a16:creationId xmlns:a16="http://schemas.microsoft.com/office/drawing/2014/main" id="{00000000-0008-0000-0300-000045020000}"/>
              </a:ext>
            </a:extLst>
          </xdr:cNvPr>
          <xdr:cNvCxnSpPr/>
        </xdr:nvCxnSpPr>
        <xdr:spPr>
          <a:xfrm>
            <a:off x="12153900" y="4533900"/>
            <a:ext cx="361950" cy="1"/>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22</xdr:col>
      <xdr:colOff>428625</xdr:colOff>
      <xdr:row>102</xdr:row>
      <xdr:rowOff>114300</xdr:rowOff>
    </xdr:from>
    <xdr:to>
      <xdr:col>23</xdr:col>
      <xdr:colOff>142875</xdr:colOff>
      <xdr:row>103</xdr:row>
      <xdr:rowOff>85725</xdr:rowOff>
    </xdr:to>
    <xdr:sp macro="" textlink="">
      <xdr:nvSpPr>
        <xdr:cNvPr id="588" name="Овал 587">
          <a:extLst>
            <a:ext uri="{FF2B5EF4-FFF2-40B4-BE49-F238E27FC236}">
              <a16:creationId xmlns:a16="http://schemas.microsoft.com/office/drawing/2014/main" id="{00000000-0008-0000-0300-00004C020000}"/>
            </a:ext>
          </a:extLst>
        </xdr:cNvPr>
        <xdr:cNvSpPr/>
      </xdr:nvSpPr>
      <xdr:spPr>
        <a:xfrm>
          <a:off x="1057275" y="13658850"/>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37</xdr:col>
      <xdr:colOff>590550</xdr:colOff>
      <xdr:row>109</xdr:row>
      <xdr:rowOff>104775</xdr:rowOff>
    </xdr:from>
    <xdr:to>
      <xdr:col>38</xdr:col>
      <xdr:colOff>142875</xdr:colOff>
      <xdr:row>110</xdr:row>
      <xdr:rowOff>76200</xdr:rowOff>
    </xdr:to>
    <xdr:sp macro="" textlink="">
      <xdr:nvSpPr>
        <xdr:cNvPr id="589" name="Овал 588">
          <a:extLst>
            <a:ext uri="{FF2B5EF4-FFF2-40B4-BE49-F238E27FC236}">
              <a16:creationId xmlns:a16="http://schemas.microsoft.com/office/drawing/2014/main" id="{00000000-0008-0000-0300-00004D020000}"/>
            </a:ext>
          </a:extLst>
        </xdr:cNvPr>
        <xdr:cNvSpPr/>
      </xdr:nvSpPr>
      <xdr:spPr>
        <a:xfrm>
          <a:off x="5610225" y="1498282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37</xdr:col>
      <xdr:colOff>600075</xdr:colOff>
      <xdr:row>102</xdr:row>
      <xdr:rowOff>95250</xdr:rowOff>
    </xdr:from>
    <xdr:to>
      <xdr:col>39</xdr:col>
      <xdr:colOff>0</xdr:colOff>
      <xdr:row>103</xdr:row>
      <xdr:rowOff>66675</xdr:rowOff>
    </xdr:to>
    <xdr:sp macro="" textlink="">
      <xdr:nvSpPr>
        <xdr:cNvPr id="590" name="Овал 589">
          <a:extLst>
            <a:ext uri="{FF2B5EF4-FFF2-40B4-BE49-F238E27FC236}">
              <a16:creationId xmlns:a16="http://schemas.microsoft.com/office/drawing/2014/main" id="{00000000-0008-0000-0300-00004E020000}"/>
            </a:ext>
          </a:extLst>
        </xdr:cNvPr>
        <xdr:cNvSpPr/>
      </xdr:nvSpPr>
      <xdr:spPr>
        <a:xfrm>
          <a:off x="5619750" y="13639800"/>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43</xdr:col>
      <xdr:colOff>428625</xdr:colOff>
      <xdr:row>109</xdr:row>
      <xdr:rowOff>114300</xdr:rowOff>
    </xdr:from>
    <xdr:to>
      <xdr:col>44</xdr:col>
      <xdr:colOff>142875</xdr:colOff>
      <xdr:row>110</xdr:row>
      <xdr:rowOff>85725</xdr:rowOff>
    </xdr:to>
    <xdr:sp macro="" textlink="">
      <xdr:nvSpPr>
        <xdr:cNvPr id="591" name="Овал 590">
          <a:extLst>
            <a:ext uri="{FF2B5EF4-FFF2-40B4-BE49-F238E27FC236}">
              <a16:creationId xmlns:a16="http://schemas.microsoft.com/office/drawing/2014/main" id="{00000000-0008-0000-0300-00004F020000}"/>
            </a:ext>
          </a:extLst>
        </xdr:cNvPr>
        <xdr:cNvSpPr/>
      </xdr:nvSpPr>
      <xdr:spPr>
        <a:xfrm>
          <a:off x="8667750" y="14992350"/>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43</xdr:col>
      <xdr:colOff>438150</xdr:colOff>
      <xdr:row>102</xdr:row>
      <xdr:rowOff>104775</xdr:rowOff>
    </xdr:from>
    <xdr:to>
      <xdr:col>45</xdr:col>
      <xdr:colOff>0</xdr:colOff>
      <xdr:row>103</xdr:row>
      <xdr:rowOff>76200</xdr:rowOff>
    </xdr:to>
    <xdr:sp macro="" textlink="">
      <xdr:nvSpPr>
        <xdr:cNvPr id="592" name="Овал 591">
          <a:extLst>
            <a:ext uri="{FF2B5EF4-FFF2-40B4-BE49-F238E27FC236}">
              <a16:creationId xmlns:a16="http://schemas.microsoft.com/office/drawing/2014/main" id="{00000000-0008-0000-0300-000050020000}"/>
            </a:ext>
          </a:extLst>
        </xdr:cNvPr>
        <xdr:cNvSpPr/>
      </xdr:nvSpPr>
      <xdr:spPr>
        <a:xfrm>
          <a:off x="8677275" y="1364932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58</xdr:col>
      <xdr:colOff>590550</xdr:colOff>
      <xdr:row>109</xdr:row>
      <xdr:rowOff>114300</xdr:rowOff>
    </xdr:from>
    <xdr:to>
      <xdr:col>59</xdr:col>
      <xdr:colOff>142875</xdr:colOff>
      <xdr:row>110</xdr:row>
      <xdr:rowOff>85725</xdr:rowOff>
    </xdr:to>
    <xdr:sp macro="" textlink="">
      <xdr:nvSpPr>
        <xdr:cNvPr id="593" name="Овал 592">
          <a:extLst>
            <a:ext uri="{FF2B5EF4-FFF2-40B4-BE49-F238E27FC236}">
              <a16:creationId xmlns:a16="http://schemas.microsoft.com/office/drawing/2014/main" id="{00000000-0008-0000-0300-000051020000}"/>
            </a:ext>
          </a:extLst>
        </xdr:cNvPr>
        <xdr:cNvSpPr/>
      </xdr:nvSpPr>
      <xdr:spPr>
        <a:xfrm>
          <a:off x="13220700" y="14992350"/>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58</xdr:col>
      <xdr:colOff>600075</xdr:colOff>
      <xdr:row>102</xdr:row>
      <xdr:rowOff>104775</xdr:rowOff>
    </xdr:from>
    <xdr:to>
      <xdr:col>60</xdr:col>
      <xdr:colOff>0</xdr:colOff>
      <xdr:row>103</xdr:row>
      <xdr:rowOff>76200</xdr:rowOff>
    </xdr:to>
    <xdr:sp macro="" textlink="">
      <xdr:nvSpPr>
        <xdr:cNvPr id="594" name="Овал 593">
          <a:extLst>
            <a:ext uri="{FF2B5EF4-FFF2-40B4-BE49-F238E27FC236}">
              <a16:creationId xmlns:a16="http://schemas.microsoft.com/office/drawing/2014/main" id="{00000000-0008-0000-0300-000052020000}"/>
            </a:ext>
          </a:extLst>
        </xdr:cNvPr>
        <xdr:cNvSpPr/>
      </xdr:nvSpPr>
      <xdr:spPr>
        <a:xfrm>
          <a:off x="13230225" y="1364932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39</xdr:col>
      <xdr:colOff>171450</xdr:colOff>
      <xdr:row>110</xdr:row>
      <xdr:rowOff>9525</xdr:rowOff>
    </xdr:from>
    <xdr:to>
      <xdr:col>39</xdr:col>
      <xdr:colOff>180976</xdr:colOff>
      <xdr:row>113</xdr:row>
      <xdr:rowOff>171450</xdr:rowOff>
    </xdr:to>
    <xdr:cxnSp macro="">
      <xdr:nvCxnSpPr>
        <xdr:cNvPr id="595" name="Прямая со стрелкой 594">
          <a:extLst>
            <a:ext uri="{FF2B5EF4-FFF2-40B4-BE49-F238E27FC236}">
              <a16:creationId xmlns:a16="http://schemas.microsoft.com/office/drawing/2014/main" id="{00000000-0008-0000-0300-000053020000}"/>
            </a:ext>
          </a:extLst>
        </xdr:cNvPr>
        <xdr:cNvCxnSpPr/>
      </xdr:nvCxnSpPr>
      <xdr:spPr>
        <a:xfrm>
          <a:off x="5953125" y="15078075"/>
          <a:ext cx="9526" cy="733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43</xdr:col>
      <xdr:colOff>285750</xdr:colOff>
      <xdr:row>110</xdr:row>
      <xdr:rowOff>9525</xdr:rowOff>
    </xdr:from>
    <xdr:to>
      <xdr:col>43</xdr:col>
      <xdr:colOff>295276</xdr:colOff>
      <xdr:row>113</xdr:row>
      <xdr:rowOff>171450</xdr:rowOff>
    </xdr:to>
    <xdr:cxnSp macro="">
      <xdr:nvCxnSpPr>
        <xdr:cNvPr id="596" name="Прямая со стрелкой 595">
          <a:extLst>
            <a:ext uri="{FF2B5EF4-FFF2-40B4-BE49-F238E27FC236}">
              <a16:creationId xmlns:a16="http://schemas.microsoft.com/office/drawing/2014/main" id="{00000000-0008-0000-0300-000054020000}"/>
            </a:ext>
          </a:extLst>
        </xdr:cNvPr>
        <xdr:cNvCxnSpPr/>
      </xdr:nvCxnSpPr>
      <xdr:spPr>
        <a:xfrm>
          <a:off x="8524875" y="15078075"/>
          <a:ext cx="9526" cy="733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152400</xdr:colOff>
      <xdr:row>110</xdr:row>
      <xdr:rowOff>19050</xdr:rowOff>
    </xdr:from>
    <xdr:to>
      <xdr:col>60</xdr:col>
      <xdr:colOff>161926</xdr:colOff>
      <xdr:row>113</xdr:row>
      <xdr:rowOff>180975</xdr:rowOff>
    </xdr:to>
    <xdr:cxnSp macro="">
      <xdr:nvCxnSpPr>
        <xdr:cNvPr id="597" name="Прямая со стрелкой 596">
          <a:extLst>
            <a:ext uri="{FF2B5EF4-FFF2-40B4-BE49-F238E27FC236}">
              <a16:creationId xmlns:a16="http://schemas.microsoft.com/office/drawing/2014/main" id="{00000000-0008-0000-0300-000055020000}"/>
            </a:ext>
          </a:extLst>
        </xdr:cNvPr>
        <xdr:cNvCxnSpPr/>
      </xdr:nvCxnSpPr>
      <xdr:spPr>
        <a:xfrm>
          <a:off x="13544550" y="15087600"/>
          <a:ext cx="9526" cy="733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285750</xdr:colOff>
      <xdr:row>99</xdr:row>
      <xdr:rowOff>19050</xdr:rowOff>
    </xdr:from>
    <xdr:to>
      <xdr:col>22</xdr:col>
      <xdr:colOff>295276</xdr:colOff>
      <xdr:row>102</xdr:row>
      <xdr:rowOff>180975</xdr:rowOff>
    </xdr:to>
    <xdr:cxnSp macro="">
      <xdr:nvCxnSpPr>
        <xdr:cNvPr id="598" name="Прямая со стрелкой 597">
          <a:extLst>
            <a:ext uri="{FF2B5EF4-FFF2-40B4-BE49-F238E27FC236}">
              <a16:creationId xmlns:a16="http://schemas.microsoft.com/office/drawing/2014/main" id="{00000000-0008-0000-0300-000056020000}"/>
            </a:ext>
          </a:extLst>
        </xdr:cNvPr>
        <xdr:cNvCxnSpPr/>
      </xdr:nvCxnSpPr>
      <xdr:spPr>
        <a:xfrm>
          <a:off x="914400" y="12992100"/>
          <a:ext cx="9526" cy="733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161925</xdr:colOff>
      <xdr:row>99</xdr:row>
      <xdr:rowOff>28575</xdr:rowOff>
    </xdr:from>
    <xdr:to>
      <xdr:col>39</xdr:col>
      <xdr:colOff>171451</xdr:colOff>
      <xdr:row>103</xdr:row>
      <xdr:rowOff>0</xdr:rowOff>
    </xdr:to>
    <xdr:cxnSp macro="">
      <xdr:nvCxnSpPr>
        <xdr:cNvPr id="599" name="Прямая со стрелкой 598">
          <a:extLst>
            <a:ext uri="{FF2B5EF4-FFF2-40B4-BE49-F238E27FC236}">
              <a16:creationId xmlns:a16="http://schemas.microsoft.com/office/drawing/2014/main" id="{00000000-0008-0000-0300-000057020000}"/>
            </a:ext>
          </a:extLst>
        </xdr:cNvPr>
        <xdr:cNvCxnSpPr/>
      </xdr:nvCxnSpPr>
      <xdr:spPr>
        <a:xfrm>
          <a:off x="5943600" y="13001625"/>
          <a:ext cx="9526" cy="733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43</xdr:col>
      <xdr:colOff>304800</xdr:colOff>
      <xdr:row>99</xdr:row>
      <xdr:rowOff>19050</xdr:rowOff>
    </xdr:from>
    <xdr:to>
      <xdr:col>43</xdr:col>
      <xdr:colOff>314326</xdr:colOff>
      <xdr:row>102</xdr:row>
      <xdr:rowOff>180975</xdr:rowOff>
    </xdr:to>
    <xdr:cxnSp macro="">
      <xdr:nvCxnSpPr>
        <xdr:cNvPr id="600" name="Прямая со стрелкой 599">
          <a:extLst>
            <a:ext uri="{FF2B5EF4-FFF2-40B4-BE49-F238E27FC236}">
              <a16:creationId xmlns:a16="http://schemas.microsoft.com/office/drawing/2014/main" id="{00000000-0008-0000-0300-000058020000}"/>
            </a:ext>
          </a:extLst>
        </xdr:cNvPr>
        <xdr:cNvCxnSpPr/>
      </xdr:nvCxnSpPr>
      <xdr:spPr>
        <a:xfrm>
          <a:off x="8543925" y="12992100"/>
          <a:ext cx="9526" cy="733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152400</xdr:colOff>
      <xdr:row>99</xdr:row>
      <xdr:rowOff>19050</xdr:rowOff>
    </xdr:from>
    <xdr:to>
      <xdr:col>60</xdr:col>
      <xdr:colOff>161926</xdr:colOff>
      <xdr:row>102</xdr:row>
      <xdr:rowOff>180975</xdr:rowOff>
    </xdr:to>
    <xdr:cxnSp macro="">
      <xdr:nvCxnSpPr>
        <xdr:cNvPr id="601" name="Прямая со стрелкой 600">
          <a:extLst>
            <a:ext uri="{FF2B5EF4-FFF2-40B4-BE49-F238E27FC236}">
              <a16:creationId xmlns:a16="http://schemas.microsoft.com/office/drawing/2014/main" id="{00000000-0008-0000-0300-000059020000}"/>
            </a:ext>
          </a:extLst>
        </xdr:cNvPr>
        <xdr:cNvCxnSpPr/>
      </xdr:nvCxnSpPr>
      <xdr:spPr>
        <a:xfrm>
          <a:off x="13544550" y="12992100"/>
          <a:ext cx="9526" cy="733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0</xdr:colOff>
      <xdr:row>106</xdr:row>
      <xdr:rowOff>95250</xdr:rowOff>
    </xdr:from>
    <xdr:to>
      <xdr:col>24</xdr:col>
      <xdr:colOff>9525</xdr:colOff>
      <xdr:row>107</xdr:row>
      <xdr:rowOff>66675</xdr:rowOff>
    </xdr:to>
    <xdr:sp macro="" textlink="">
      <xdr:nvSpPr>
        <xdr:cNvPr id="602" name="Овал 601">
          <a:extLst>
            <a:ext uri="{FF2B5EF4-FFF2-40B4-BE49-F238E27FC236}">
              <a16:creationId xmlns:a16="http://schemas.microsoft.com/office/drawing/2014/main" id="{00000000-0008-0000-0300-00005A020000}"/>
            </a:ext>
          </a:extLst>
        </xdr:cNvPr>
        <xdr:cNvSpPr/>
      </xdr:nvSpPr>
      <xdr:spPr>
        <a:xfrm>
          <a:off x="1076325" y="2005012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37</xdr:col>
      <xdr:colOff>600075</xdr:colOff>
      <xdr:row>106</xdr:row>
      <xdr:rowOff>95250</xdr:rowOff>
    </xdr:from>
    <xdr:to>
      <xdr:col>39</xdr:col>
      <xdr:colOff>0</xdr:colOff>
      <xdr:row>107</xdr:row>
      <xdr:rowOff>66675</xdr:rowOff>
    </xdr:to>
    <xdr:sp macro="" textlink="">
      <xdr:nvSpPr>
        <xdr:cNvPr id="603" name="Овал 602">
          <a:extLst>
            <a:ext uri="{FF2B5EF4-FFF2-40B4-BE49-F238E27FC236}">
              <a16:creationId xmlns:a16="http://schemas.microsoft.com/office/drawing/2014/main" id="{00000000-0008-0000-0300-00005B020000}"/>
            </a:ext>
          </a:extLst>
        </xdr:cNvPr>
        <xdr:cNvSpPr/>
      </xdr:nvSpPr>
      <xdr:spPr>
        <a:xfrm>
          <a:off x="5619750" y="2005012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44</xdr:col>
      <xdr:colOff>0</xdr:colOff>
      <xdr:row>106</xdr:row>
      <xdr:rowOff>95250</xdr:rowOff>
    </xdr:from>
    <xdr:to>
      <xdr:col>45</xdr:col>
      <xdr:colOff>9525</xdr:colOff>
      <xdr:row>107</xdr:row>
      <xdr:rowOff>66675</xdr:rowOff>
    </xdr:to>
    <xdr:sp macro="" textlink="">
      <xdr:nvSpPr>
        <xdr:cNvPr id="604" name="Овал 603">
          <a:extLst>
            <a:ext uri="{FF2B5EF4-FFF2-40B4-BE49-F238E27FC236}">
              <a16:creationId xmlns:a16="http://schemas.microsoft.com/office/drawing/2014/main" id="{00000000-0008-0000-0300-00005C020000}"/>
            </a:ext>
          </a:extLst>
        </xdr:cNvPr>
        <xdr:cNvSpPr/>
      </xdr:nvSpPr>
      <xdr:spPr>
        <a:xfrm>
          <a:off x="8686800" y="2005012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58</xdr:col>
      <xdr:colOff>600075</xdr:colOff>
      <xdr:row>106</xdr:row>
      <xdr:rowOff>114300</xdr:rowOff>
    </xdr:from>
    <xdr:to>
      <xdr:col>60</xdr:col>
      <xdr:colOff>0</xdr:colOff>
      <xdr:row>107</xdr:row>
      <xdr:rowOff>85725</xdr:rowOff>
    </xdr:to>
    <xdr:sp macro="" textlink="">
      <xdr:nvSpPr>
        <xdr:cNvPr id="605" name="Овал 604">
          <a:extLst>
            <a:ext uri="{FF2B5EF4-FFF2-40B4-BE49-F238E27FC236}">
              <a16:creationId xmlns:a16="http://schemas.microsoft.com/office/drawing/2014/main" id="{00000000-0008-0000-0300-00005D020000}"/>
            </a:ext>
          </a:extLst>
        </xdr:cNvPr>
        <xdr:cNvSpPr/>
      </xdr:nvSpPr>
      <xdr:spPr>
        <a:xfrm>
          <a:off x="13230225" y="2006917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39</xdr:col>
      <xdr:colOff>171450</xdr:colOff>
      <xdr:row>107</xdr:row>
      <xdr:rowOff>19050</xdr:rowOff>
    </xdr:from>
    <xdr:to>
      <xdr:col>39</xdr:col>
      <xdr:colOff>171450</xdr:colOff>
      <xdr:row>109</xdr:row>
      <xdr:rowOff>161925</xdr:rowOff>
    </xdr:to>
    <xdr:cxnSp macro="">
      <xdr:nvCxnSpPr>
        <xdr:cNvPr id="606" name="Прямая со стрелкой 605">
          <a:extLst>
            <a:ext uri="{FF2B5EF4-FFF2-40B4-BE49-F238E27FC236}">
              <a16:creationId xmlns:a16="http://schemas.microsoft.com/office/drawing/2014/main" id="{00000000-0008-0000-0300-00005E020000}"/>
            </a:ext>
          </a:extLst>
        </xdr:cNvPr>
        <xdr:cNvCxnSpPr/>
      </xdr:nvCxnSpPr>
      <xdr:spPr>
        <a:xfrm>
          <a:off x="5953125" y="20164425"/>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43</xdr:col>
      <xdr:colOff>295275</xdr:colOff>
      <xdr:row>107</xdr:row>
      <xdr:rowOff>19050</xdr:rowOff>
    </xdr:from>
    <xdr:to>
      <xdr:col>43</xdr:col>
      <xdr:colOff>295275</xdr:colOff>
      <xdr:row>109</xdr:row>
      <xdr:rowOff>161925</xdr:rowOff>
    </xdr:to>
    <xdr:cxnSp macro="">
      <xdr:nvCxnSpPr>
        <xdr:cNvPr id="607" name="Прямая со стрелкой 606">
          <a:extLst>
            <a:ext uri="{FF2B5EF4-FFF2-40B4-BE49-F238E27FC236}">
              <a16:creationId xmlns:a16="http://schemas.microsoft.com/office/drawing/2014/main" id="{00000000-0008-0000-0300-00005F020000}"/>
            </a:ext>
          </a:extLst>
        </xdr:cNvPr>
        <xdr:cNvCxnSpPr/>
      </xdr:nvCxnSpPr>
      <xdr:spPr>
        <a:xfrm>
          <a:off x="8534400" y="20164425"/>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152400</xdr:colOff>
      <xdr:row>107</xdr:row>
      <xdr:rowOff>19050</xdr:rowOff>
    </xdr:from>
    <xdr:to>
      <xdr:col>60</xdr:col>
      <xdr:colOff>152400</xdr:colOff>
      <xdr:row>109</xdr:row>
      <xdr:rowOff>161925</xdr:rowOff>
    </xdr:to>
    <xdr:cxnSp macro="">
      <xdr:nvCxnSpPr>
        <xdr:cNvPr id="608" name="Прямая со стрелкой 607">
          <a:extLst>
            <a:ext uri="{FF2B5EF4-FFF2-40B4-BE49-F238E27FC236}">
              <a16:creationId xmlns:a16="http://schemas.microsoft.com/office/drawing/2014/main" id="{00000000-0008-0000-0300-000060020000}"/>
            </a:ext>
          </a:extLst>
        </xdr:cNvPr>
        <xdr:cNvCxnSpPr/>
      </xdr:nvCxnSpPr>
      <xdr:spPr>
        <a:xfrm>
          <a:off x="13544550" y="20164425"/>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9525</xdr:colOff>
      <xdr:row>75</xdr:row>
      <xdr:rowOff>9525</xdr:rowOff>
    </xdr:from>
    <xdr:to>
      <xdr:col>33</xdr:col>
      <xdr:colOff>95250</xdr:colOff>
      <xdr:row>79</xdr:row>
      <xdr:rowOff>1</xdr:rowOff>
    </xdr:to>
    <xdr:sp macro="" textlink="">
      <xdr:nvSpPr>
        <xdr:cNvPr id="2" name="Прямоугольник 1">
          <a:extLst>
            <a:ext uri="{FF2B5EF4-FFF2-40B4-BE49-F238E27FC236}">
              <a16:creationId xmlns:a16="http://schemas.microsoft.com/office/drawing/2014/main" id="{00000000-0008-0000-0300-000002000000}"/>
            </a:ext>
          </a:extLst>
        </xdr:cNvPr>
        <xdr:cNvSpPr/>
      </xdr:nvSpPr>
      <xdr:spPr>
        <a:xfrm>
          <a:off x="4152900" y="14125575"/>
          <a:ext cx="85725" cy="75247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ru-RU" sz="1100"/>
        </a:p>
      </xdr:txBody>
    </xdr:sp>
    <xdr:clientData/>
  </xdr:twoCellAnchor>
  <xdr:twoCellAnchor>
    <xdr:from>
      <xdr:col>28</xdr:col>
      <xdr:colOff>47625</xdr:colOff>
      <xdr:row>75</xdr:row>
      <xdr:rowOff>9525</xdr:rowOff>
    </xdr:from>
    <xdr:to>
      <xdr:col>28</xdr:col>
      <xdr:colOff>133350</xdr:colOff>
      <xdr:row>79</xdr:row>
      <xdr:rowOff>1</xdr:rowOff>
    </xdr:to>
    <xdr:sp macro="" textlink="">
      <xdr:nvSpPr>
        <xdr:cNvPr id="246" name="Прямоугольник 245">
          <a:extLst>
            <a:ext uri="{FF2B5EF4-FFF2-40B4-BE49-F238E27FC236}">
              <a16:creationId xmlns:a16="http://schemas.microsoft.com/office/drawing/2014/main" id="{00000000-0008-0000-0300-0000F6000000}"/>
            </a:ext>
          </a:extLst>
        </xdr:cNvPr>
        <xdr:cNvSpPr/>
      </xdr:nvSpPr>
      <xdr:spPr>
        <a:xfrm>
          <a:off x="2609850" y="14125575"/>
          <a:ext cx="85725" cy="75247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ru-RU" sz="1100"/>
        </a:p>
      </xdr:txBody>
    </xdr:sp>
    <xdr:clientData/>
  </xdr:twoCellAnchor>
  <xdr:twoCellAnchor>
    <xdr:from>
      <xdr:col>32</xdr:col>
      <xdr:colOff>336688</xdr:colOff>
      <xdr:row>79</xdr:row>
      <xdr:rowOff>9525</xdr:rowOff>
    </xdr:from>
    <xdr:to>
      <xdr:col>32</xdr:col>
      <xdr:colOff>342900</xdr:colOff>
      <xdr:row>87</xdr:row>
      <xdr:rowOff>9525</xdr:rowOff>
    </xdr:to>
    <xdr:cxnSp macro="">
      <xdr:nvCxnSpPr>
        <xdr:cNvPr id="247" name="Прямая со стрелкой 246">
          <a:extLst>
            <a:ext uri="{FF2B5EF4-FFF2-40B4-BE49-F238E27FC236}">
              <a16:creationId xmlns:a16="http://schemas.microsoft.com/office/drawing/2014/main" id="{00000000-0008-0000-0300-0000F7000000}"/>
            </a:ext>
          </a:extLst>
        </xdr:cNvPr>
        <xdr:cNvCxnSpPr/>
      </xdr:nvCxnSpPr>
      <xdr:spPr>
        <a:xfrm flipH="1">
          <a:off x="4013338" y="14887575"/>
          <a:ext cx="6212" cy="148590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146188</xdr:colOff>
      <xdr:row>79</xdr:row>
      <xdr:rowOff>0</xdr:rowOff>
    </xdr:from>
    <xdr:to>
      <xdr:col>29</xdr:col>
      <xdr:colOff>152400</xdr:colOff>
      <xdr:row>87</xdr:row>
      <xdr:rowOff>0</xdr:rowOff>
    </xdr:to>
    <xdr:cxnSp macro="">
      <xdr:nvCxnSpPr>
        <xdr:cNvPr id="250" name="Прямая со стрелкой 249">
          <a:extLst>
            <a:ext uri="{FF2B5EF4-FFF2-40B4-BE49-F238E27FC236}">
              <a16:creationId xmlns:a16="http://schemas.microsoft.com/office/drawing/2014/main" id="{00000000-0008-0000-0300-0000FA000000}"/>
            </a:ext>
          </a:extLst>
        </xdr:cNvPr>
        <xdr:cNvCxnSpPr/>
      </xdr:nvCxnSpPr>
      <xdr:spPr>
        <a:xfrm flipH="1">
          <a:off x="2860813" y="14878050"/>
          <a:ext cx="6212" cy="148590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428625</xdr:colOff>
      <xdr:row>106</xdr:row>
      <xdr:rowOff>114300</xdr:rowOff>
    </xdr:from>
    <xdr:to>
      <xdr:col>23</xdr:col>
      <xdr:colOff>142875</xdr:colOff>
      <xdr:row>107</xdr:row>
      <xdr:rowOff>85725</xdr:rowOff>
    </xdr:to>
    <xdr:sp macro="" textlink="">
      <xdr:nvSpPr>
        <xdr:cNvPr id="251" name="Овал 250">
          <a:extLst>
            <a:ext uri="{FF2B5EF4-FFF2-40B4-BE49-F238E27FC236}">
              <a16:creationId xmlns:a16="http://schemas.microsoft.com/office/drawing/2014/main" id="{00000000-0008-0000-0300-0000FB000000}"/>
            </a:ext>
          </a:extLst>
        </xdr:cNvPr>
        <xdr:cNvSpPr/>
      </xdr:nvSpPr>
      <xdr:spPr>
        <a:xfrm>
          <a:off x="1057275" y="1930717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22</xdr:col>
      <xdr:colOff>285750</xdr:colOff>
      <xdr:row>103</xdr:row>
      <xdr:rowOff>19050</xdr:rowOff>
    </xdr:from>
    <xdr:to>
      <xdr:col>22</xdr:col>
      <xdr:colOff>295276</xdr:colOff>
      <xdr:row>106</xdr:row>
      <xdr:rowOff>180975</xdr:rowOff>
    </xdr:to>
    <xdr:cxnSp macro="">
      <xdr:nvCxnSpPr>
        <xdr:cNvPr id="252" name="Прямая со стрелкой 251">
          <a:extLst>
            <a:ext uri="{FF2B5EF4-FFF2-40B4-BE49-F238E27FC236}">
              <a16:creationId xmlns:a16="http://schemas.microsoft.com/office/drawing/2014/main" id="{00000000-0008-0000-0300-0000FC000000}"/>
            </a:ext>
          </a:extLst>
        </xdr:cNvPr>
        <xdr:cNvCxnSpPr/>
      </xdr:nvCxnSpPr>
      <xdr:spPr>
        <a:xfrm>
          <a:off x="914400" y="18640425"/>
          <a:ext cx="9526" cy="733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161925</xdr:colOff>
      <xdr:row>103</xdr:row>
      <xdr:rowOff>28575</xdr:rowOff>
    </xdr:from>
    <xdr:to>
      <xdr:col>39</xdr:col>
      <xdr:colOff>171451</xdr:colOff>
      <xdr:row>107</xdr:row>
      <xdr:rowOff>0</xdr:rowOff>
    </xdr:to>
    <xdr:cxnSp macro="">
      <xdr:nvCxnSpPr>
        <xdr:cNvPr id="253" name="Прямая со стрелкой 252">
          <a:extLst>
            <a:ext uri="{FF2B5EF4-FFF2-40B4-BE49-F238E27FC236}">
              <a16:creationId xmlns:a16="http://schemas.microsoft.com/office/drawing/2014/main" id="{00000000-0008-0000-0300-0000FD000000}"/>
            </a:ext>
          </a:extLst>
        </xdr:cNvPr>
        <xdr:cNvCxnSpPr/>
      </xdr:nvCxnSpPr>
      <xdr:spPr>
        <a:xfrm>
          <a:off x="5943600" y="18649950"/>
          <a:ext cx="9526" cy="733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336688</xdr:colOff>
      <xdr:row>109</xdr:row>
      <xdr:rowOff>9525</xdr:rowOff>
    </xdr:from>
    <xdr:to>
      <xdr:col>32</xdr:col>
      <xdr:colOff>342900</xdr:colOff>
      <xdr:row>117</xdr:row>
      <xdr:rowOff>9525</xdr:rowOff>
    </xdr:to>
    <xdr:cxnSp macro="">
      <xdr:nvCxnSpPr>
        <xdr:cNvPr id="254" name="Прямая со стрелкой 253">
          <a:extLst>
            <a:ext uri="{FF2B5EF4-FFF2-40B4-BE49-F238E27FC236}">
              <a16:creationId xmlns:a16="http://schemas.microsoft.com/office/drawing/2014/main" id="{00000000-0008-0000-0300-0000FE000000}"/>
            </a:ext>
          </a:extLst>
        </xdr:cNvPr>
        <xdr:cNvCxnSpPr/>
      </xdr:nvCxnSpPr>
      <xdr:spPr>
        <a:xfrm flipH="1">
          <a:off x="4013338" y="14887575"/>
          <a:ext cx="6212" cy="148590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146188</xdr:colOff>
      <xdr:row>109</xdr:row>
      <xdr:rowOff>0</xdr:rowOff>
    </xdr:from>
    <xdr:to>
      <xdr:col>29</xdr:col>
      <xdr:colOff>152400</xdr:colOff>
      <xdr:row>117</xdr:row>
      <xdr:rowOff>0</xdr:rowOff>
    </xdr:to>
    <xdr:cxnSp macro="">
      <xdr:nvCxnSpPr>
        <xdr:cNvPr id="255" name="Прямая со стрелкой 254">
          <a:extLst>
            <a:ext uri="{FF2B5EF4-FFF2-40B4-BE49-F238E27FC236}">
              <a16:creationId xmlns:a16="http://schemas.microsoft.com/office/drawing/2014/main" id="{00000000-0008-0000-0300-0000FF000000}"/>
            </a:ext>
          </a:extLst>
        </xdr:cNvPr>
        <xdr:cNvCxnSpPr/>
      </xdr:nvCxnSpPr>
      <xdr:spPr>
        <a:xfrm flipH="1">
          <a:off x="2860813" y="14878050"/>
          <a:ext cx="6212" cy="148590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0</xdr:colOff>
      <xdr:row>105</xdr:row>
      <xdr:rowOff>0</xdr:rowOff>
    </xdr:from>
    <xdr:to>
      <xdr:col>33</xdr:col>
      <xdr:colOff>85725</xdr:colOff>
      <xdr:row>108</xdr:row>
      <xdr:rowOff>180976</xdr:rowOff>
    </xdr:to>
    <xdr:sp macro="" textlink="">
      <xdr:nvSpPr>
        <xdr:cNvPr id="256" name="Прямоугольник 255">
          <a:extLst>
            <a:ext uri="{FF2B5EF4-FFF2-40B4-BE49-F238E27FC236}">
              <a16:creationId xmlns:a16="http://schemas.microsoft.com/office/drawing/2014/main" id="{00000000-0008-0000-0300-000000010000}"/>
            </a:ext>
          </a:extLst>
        </xdr:cNvPr>
        <xdr:cNvSpPr/>
      </xdr:nvSpPr>
      <xdr:spPr>
        <a:xfrm>
          <a:off x="4143375" y="19764375"/>
          <a:ext cx="85725" cy="75247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ru-RU" sz="1100"/>
        </a:p>
      </xdr:txBody>
    </xdr:sp>
    <xdr:clientData/>
  </xdr:twoCellAnchor>
  <xdr:twoCellAnchor>
    <xdr:from>
      <xdr:col>28</xdr:col>
      <xdr:colOff>57150</xdr:colOff>
      <xdr:row>105</xdr:row>
      <xdr:rowOff>0</xdr:rowOff>
    </xdr:from>
    <xdr:to>
      <xdr:col>28</xdr:col>
      <xdr:colOff>142875</xdr:colOff>
      <xdr:row>108</xdr:row>
      <xdr:rowOff>180976</xdr:rowOff>
    </xdr:to>
    <xdr:sp macro="" textlink="">
      <xdr:nvSpPr>
        <xdr:cNvPr id="257" name="Прямоугольник 256">
          <a:extLst>
            <a:ext uri="{FF2B5EF4-FFF2-40B4-BE49-F238E27FC236}">
              <a16:creationId xmlns:a16="http://schemas.microsoft.com/office/drawing/2014/main" id="{00000000-0008-0000-0300-000001010000}"/>
            </a:ext>
          </a:extLst>
        </xdr:cNvPr>
        <xdr:cNvSpPr/>
      </xdr:nvSpPr>
      <xdr:spPr>
        <a:xfrm>
          <a:off x="2619375" y="19764375"/>
          <a:ext cx="85725" cy="75247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ru-RU" sz="1100"/>
        </a:p>
      </xdr:txBody>
    </xdr:sp>
    <xdr:clientData/>
  </xdr:twoCellAnchor>
  <xdr:twoCellAnchor>
    <xdr:from>
      <xdr:col>33</xdr:col>
      <xdr:colOff>9525</xdr:colOff>
      <xdr:row>20</xdr:row>
      <xdr:rowOff>0</xdr:rowOff>
    </xdr:from>
    <xdr:to>
      <xdr:col>33</xdr:col>
      <xdr:colOff>95250</xdr:colOff>
      <xdr:row>23</xdr:row>
      <xdr:rowOff>180976</xdr:rowOff>
    </xdr:to>
    <xdr:sp macro="" textlink="">
      <xdr:nvSpPr>
        <xdr:cNvPr id="263" name="Прямоугольник 262">
          <a:extLst>
            <a:ext uri="{FF2B5EF4-FFF2-40B4-BE49-F238E27FC236}">
              <a16:creationId xmlns:a16="http://schemas.microsoft.com/office/drawing/2014/main" id="{00000000-0008-0000-0300-000007010000}"/>
            </a:ext>
          </a:extLst>
        </xdr:cNvPr>
        <xdr:cNvSpPr/>
      </xdr:nvSpPr>
      <xdr:spPr>
        <a:xfrm>
          <a:off x="4152900" y="3771900"/>
          <a:ext cx="85725" cy="75247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ru-RU" sz="1100"/>
        </a:p>
      </xdr:txBody>
    </xdr:sp>
    <xdr:clientData/>
  </xdr:twoCellAnchor>
  <xdr:twoCellAnchor>
    <xdr:from>
      <xdr:col>28</xdr:col>
      <xdr:colOff>57150</xdr:colOff>
      <xdr:row>20</xdr:row>
      <xdr:rowOff>9525</xdr:rowOff>
    </xdr:from>
    <xdr:to>
      <xdr:col>28</xdr:col>
      <xdr:colOff>142875</xdr:colOff>
      <xdr:row>24</xdr:row>
      <xdr:rowOff>1</xdr:rowOff>
    </xdr:to>
    <xdr:sp macro="" textlink="">
      <xdr:nvSpPr>
        <xdr:cNvPr id="266" name="Прямоугольник 265">
          <a:extLst>
            <a:ext uri="{FF2B5EF4-FFF2-40B4-BE49-F238E27FC236}">
              <a16:creationId xmlns:a16="http://schemas.microsoft.com/office/drawing/2014/main" id="{00000000-0008-0000-0300-00000A010000}"/>
            </a:ext>
          </a:extLst>
        </xdr:cNvPr>
        <xdr:cNvSpPr/>
      </xdr:nvSpPr>
      <xdr:spPr>
        <a:xfrm>
          <a:off x="2619375" y="3781425"/>
          <a:ext cx="85725" cy="75247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ru-RU" sz="1100"/>
        </a:p>
      </xdr:txBody>
    </xdr:sp>
    <xdr:clientData/>
  </xdr:twoCellAnchor>
  <xdr:twoCellAnchor>
    <xdr:from>
      <xdr:col>32</xdr:col>
      <xdr:colOff>314325</xdr:colOff>
      <xdr:row>24</xdr:row>
      <xdr:rowOff>9525</xdr:rowOff>
    </xdr:from>
    <xdr:to>
      <xdr:col>32</xdr:col>
      <xdr:colOff>314325</xdr:colOff>
      <xdr:row>26</xdr:row>
      <xdr:rowOff>133350</xdr:rowOff>
    </xdr:to>
    <xdr:cxnSp macro="">
      <xdr:nvCxnSpPr>
        <xdr:cNvPr id="270" name="Прямая со стрелкой 269">
          <a:extLst>
            <a:ext uri="{FF2B5EF4-FFF2-40B4-BE49-F238E27FC236}">
              <a16:creationId xmlns:a16="http://schemas.microsoft.com/office/drawing/2014/main" id="{00000000-0008-0000-0300-00000E010000}"/>
            </a:ext>
          </a:extLst>
        </xdr:cNvPr>
        <xdr:cNvCxnSpPr/>
      </xdr:nvCxnSpPr>
      <xdr:spPr>
        <a:xfrm>
          <a:off x="3990975" y="4543425"/>
          <a:ext cx="0" cy="51435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142875</xdr:colOff>
      <xdr:row>24</xdr:row>
      <xdr:rowOff>9525</xdr:rowOff>
    </xdr:from>
    <xdr:to>
      <xdr:col>29</xdr:col>
      <xdr:colOff>142875</xdr:colOff>
      <xdr:row>26</xdr:row>
      <xdr:rowOff>133350</xdr:rowOff>
    </xdr:to>
    <xdr:cxnSp macro="">
      <xdr:nvCxnSpPr>
        <xdr:cNvPr id="273" name="Прямая со стрелкой 272">
          <a:extLst>
            <a:ext uri="{FF2B5EF4-FFF2-40B4-BE49-F238E27FC236}">
              <a16:creationId xmlns:a16="http://schemas.microsoft.com/office/drawing/2014/main" id="{00000000-0008-0000-0300-000011010000}"/>
            </a:ext>
          </a:extLst>
        </xdr:cNvPr>
        <xdr:cNvCxnSpPr/>
      </xdr:nvCxnSpPr>
      <xdr:spPr>
        <a:xfrm>
          <a:off x="2857500" y="4543425"/>
          <a:ext cx="0" cy="51435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285750</xdr:colOff>
      <xdr:row>73</xdr:row>
      <xdr:rowOff>19050</xdr:rowOff>
    </xdr:from>
    <xdr:to>
      <xdr:col>22</xdr:col>
      <xdr:colOff>295275</xdr:colOff>
      <xdr:row>79</xdr:row>
      <xdr:rowOff>180975</xdr:rowOff>
    </xdr:to>
    <xdr:cxnSp macro="">
      <xdr:nvCxnSpPr>
        <xdr:cNvPr id="303" name="Прямая со стрелкой 302">
          <a:extLst>
            <a:ext uri="{FF2B5EF4-FFF2-40B4-BE49-F238E27FC236}">
              <a16:creationId xmlns:a16="http://schemas.microsoft.com/office/drawing/2014/main" id="{00000000-0008-0000-0300-00002F010000}"/>
            </a:ext>
          </a:extLst>
        </xdr:cNvPr>
        <xdr:cNvCxnSpPr/>
      </xdr:nvCxnSpPr>
      <xdr:spPr>
        <a:xfrm>
          <a:off x="914400" y="13754100"/>
          <a:ext cx="9525" cy="13049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161925</xdr:colOff>
      <xdr:row>73</xdr:row>
      <xdr:rowOff>19050</xdr:rowOff>
    </xdr:from>
    <xdr:to>
      <xdr:col>39</xdr:col>
      <xdr:colOff>171450</xdr:colOff>
      <xdr:row>79</xdr:row>
      <xdr:rowOff>180975</xdr:rowOff>
    </xdr:to>
    <xdr:cxnSp macro="">
      <xdr:nvCxnSpPr>
        <xdr:cNvPr id="307" name="Прямая со стрелкой 306">
          <a:extLst>
            <a:ext uri="{FF2B5EF4-FFF2-40B4-BE49-F238E27FC236}">
              <a16:creationId xmlns:a16="http://schemas.microsoft.com/office/drawing/2014/main" id="{00000000-0008-0000-0300-000033010000}"/>
            </a:ext>
          </a:extLst>
        </xdr:cNvPr>
        <xdr:cNvCxnSpPr/>
      </xdr:nvCxnSpPr>
      <xdr:spPr>
        <a:xfrm>
          <a:off x="5943600" y="13754100"/>
          <a:ext cx="9525" cy="13049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295275</xdr:colOff>
      <xdr:row>5</xdr:row>
      <xdr:rowOff>4057</xdr:rowOff>
    </xdr:from>
    <xdr:to>
      <xdr:col>18</xdr:col>
      <xdr:colOff>171450</xdr:colOff>
      <xdr:row>27</xdr:row>
      <xdr:rowOff>0</xdr:rowOff>
    </xdr:to>
    <xdr:grpSp>
      <xdr:nvGrpSpPr>
        <xdr:cNvPr id="276" name="Группа 275">
          <a:extLst>
            <a:ext uri="{FF2B5EF4-FFF2-40B4-BE49-F238E27FC236}">
              <a16:creationId xmlns:a16="http://schemas.microsoft.com/office/drawing/2014/main" id="{00000000-0008-0000-0300-000014010000}"/>
            </a:ext>
          </a:extLst>
        </xdr:cNvPr>
        <xdr:cNvGrpSpPr/>
      </xdr:nvGrpSpPr>
      <xdr:grpSpPr>
        <a:xfrm>
          <a:off x="918516" y="944798"/>
          <a:ext cx="5003212" cy="4064646"/>
          <a:chOff x="923925" y="956557"/>
          <a:chExt cx="5029200" cy="4110743"/>
        </a:xfrm>
      </xdr:grpSpPr>
      <xdr:sp macro="" textlink="">
        <xdr:nvSpPr>
          <xdr:cNvPr id="279" name="Овал 278">
            <a:extLst>
              <a:ext uri="{FF2B5EF4-FFF2-40B4-BE49-F238E27FC236}">
                <a16:creationId xmlns:a16="http://schemas.microsoft.com/office/drawing/2014/main" id="{00000000-0008-0000-0300-000017010000}"/>
              </a:ext>
            </a:extLst>
          </xdr:cNvPr>
          <xdr:cNvSpPr/>
        </xdr:nvSpPr>
        <xdr:spPr>
          <a:xfrm>
            <a:off x="1076325" y="1600200"/>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sp macro="" textlink="">
        <xdr:nvSpPr>
          <xdr:cNvPr id="301" name="Овал 300">
            <a:extLst>
              <a:ext uri="{FF2B5EF4-FFF2-40B4-BE49-F238E27FC236}">
                <a16:creationId xmlns:a16="http://schemas.microsoft.com/office/drawing/2014/main" id="{00000000-0008-0000-0300-00002D010000}"/>
              </a:ext>
            </a:extLst>
          </xdr:cNvPr>
          <xdr:cNvSpPr/>
        </xdr:nvSpPr>
        <xdr:spPr>
          <a:xfrm>
            <a:off x="1076325" y="4448175"/>
            <a:ext cx="152400"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xnSp macro="">
        <xdr:nvCxnSpPr>
          <xdr:cNvPr id="304" name="Прямая со стрелкой 303">
            <a:extLst>
              <a:ext uri="{FF2B5EF4-FFF2-40B4-BE49-F238E27FC236}">
                <a16:creationId xmlns:a16="http://schemas.microsoft.com/office/drawing/2014/main" id="{00000000-0008-0000-0300-000030010000}"/>
              </a:ext>
            </a:extLst>
          </xdr:cNvPr>
          <xdr:cNvCxnSpPr/>
        </xdr:nvCxnSpPr>
        <xdr:spPr>
          <a:xfrm>
            <a:off x="933450" y="1152525"/>
            <a:ext cx="0" cy="51435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05" name="Прямая со стрелкой 304">
            <a:extLst>
              <a:ext uri="{FF2B5EF4-FFF2-40B4-BE49-F238E27FC236}">
                <a16:creationId xmlns:a16="http://schemas.microsoft.com/office/drawing/2014/main" id="{00000000-0008-0000-0300-000031010000}"/>
              </a:ext>
            </a:extLst>
          </xdr:cNvPr>
          <xdr:cNvCxnSpPr/>
        </xdr:nvCxnSpPr>
        <xdr:spPr>
          <a:xfrm>
            <a:off x="923925" y="4533900"/>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06" name="Овал 305">
            <a:extLst>
              <a:ext uri="{FF2B5EF4-FFF2-40B4-BE49-F238E27FC236}">
                <a16:creationId xmlns:a16="http://schemas.microsoft.com/office/drawing/2014/main" id="{00000000-0008-0000-0300-000032010000}"/>
              </a:ext>
            </a:extLst>
          </xdr:cNvPr>
          <xdr:cNvSpPr/>
        </xdr:nvSpPr>
        <xdr:spPr>
          <a:xfrm>
            <a:off x="5619750" y="159067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sp macro="" textlink="">
        <xdr:nvSpPr>
          <xdr:cNvPr id="308" name="Овал 307">
            <a:extLst>
              <a:ext uri="{FF2B5EF4-FFF2-40B4-BE49-F238E27FC236}">
                <a16:creationId xmlns:a16="http://schemas.microsoft.com/office/drawing/2014/main" id="{00000000-0008-0000-0300-000034010000}"/>
              </a:ext>
            </a:extLst>
          </xdr:cNvPr>
          <xdr:cNvSpPr/>
        </xdr:nvSpPr>
        <xdr:spPr>
          <a:xfrm>
            <a:off x="5629275" y="4457700"/>
            <a:ext cx="152400"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xnSp macro="">
        <xdr:nvCxnSpPr>
          <xdr:cNvPr id="309" name="Прямая со стрелкой 308">
            <a:extLst>
              <a:ext uri="{FF2B5EF4-FFF2-40B4-BE49-F238E27FC236}">
                <a16:creationId xmlns:a16="http://schemas.microsoft.com/office/drawing/2014/main" id="{00000000-0008-0000-0300-000035010000}"/>
              </a:ext>
            </a:extLst>
          </xdr:cNvPr>
          <xdr:cNvCxnSpPr/>
        </xdr:nvCxnSpPr>
        <xdr:spPr>
          <a:xfrm>
            <a:off x="5943600" y="1162050"/>
            <a:ext cx="0" cy="51435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10" name="Прямая со стрелкой 309">
            <a:extLst>
              <a:ext uri="{FF2B5EF4-FFF2-40B4-BE49-F238E27FC236}">
                <a16:creationId xmlns:a16="http://schemas.microsoft.com/office/drawing/2014/main" id="{00000000-0008-0000-0300-000036010000}"/>
              </a:ext>
            </a:extLst>
          </xdr:cNvPr>
          <xdr:cNvCxnSpPr/>
        </xdr:nvCxnSpPr>
        <xdr:spPr>
          <a:xfrm>
            <a:off x="5953125" y="4543425"/>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11" name="Прямая со стрелкой 310">
            <a:extLst>
              <a:ext uri="{FF2B5EF4-FFF2-40B4-BE49-F238E27FC236}">
                <a16:creationId xmlns:a16="http://schemas.microsoft.com/office/drawing/2014/main" id="{00000000-0008-0000-0300-000037010000}"/>
              </a:ext>
            </a:extLst>
          </xdr:cNvPr>
          <xdr:cNvCxnSpPr/>
        </xdr:nvCxnSpPr>
        <xdr:spPr>
          <a:xfrm flipH="1" flipV="1">
            <a:off x="1076955" y="956557"/>
            <a:ext cx="1637670" cy="4226"/>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12" name="Прямая со стрелкой 311">
            <a:extLst>
              <a:ext uri="{FF2B5EF4-FFF2-40B4-BE49-F238E27FC236}">
                <a16:creationId xmlns:a16="http://schemas.microsoft.com/office/drawing/2014/main" id="{00000000-0008-0000-0300-000038010000}"/>
              </a:ext>
            </a:extLst>
          </xdr:cNvPr>
          <xdr:cNvCxnSpPr/>
        </xdr:nvCxnSpPr>
        <xdr:spPr>
          <a:xfrm flipH="1" flipV="1">
            <a:off x="4136136" y="959870"/>
            <a:ext cx="1637256" cy="4226"/>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13" name="Прямая со стрелкой 312">
            <a:extLst>
              <a:ext uri="{FF2B5EF4-FFF2-40B4-BE49-F238E27FC236}">
                <a16:creationId xmlns:a16="http://schemas.microsoft.com/office/drawing/2014/main" id="{00000000-0008-0000-0300-000039010000}"/>
              </a:ext>
            </a:extLst>
          </xdr:cNvPr>
          <xdr:cNvCxnSpPr/>
        </xdr:nvCxnSpPr>
        <xdr:spPr>
          <a:xfrm flipH="1">
            <a:off x="3413263" y="1166451"/>
            <a:ext cx="12942" cy="3900849"/>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295275</xdr:colOff>
      <xdr:row>35</xdr:row>
      <xdr:rowOff>4057</xdr:rowOff>
    </xdr:from>
    <xdr:to>
      <xdr:col>18</xdr:col>
      <xdr:colOff>171451</xdr:colOff>
      <xdr:row>57</xdr:row>
      <xdr:rowOff>0</xdr:rowOff>
    </xdr:to>
    <xdr:grpSp>
      <xdr:nvGrpSpPr>
        <xdr:cNvPr id="314" name="Группа 313">
          <a:extLst>
            <a:ext uri="{FF2B5EF4-FFF2-40B4-BE49-F238E27FC236}">
              <a16:creationId xmlns:a16="http://schemas.microsoft.com/office/drawing/2014/main" id="{00000000-0008-0000-0300-00003A010000}"/>
            </a:ext>
          </a:extLst>
        </xdr:cNvPr>
        <xdr:cNvGrpSpPr/>
      </xdr:nvGrpSpPr>
      <xdr:grpSpPr>
        <a:xfrm>
          <a:off x="918516" y="6530446"/>
          <a:ext cx="5003213" cy="4064647"/>
          <a:chOff x="923925" y="6604882"/>
          <a:chExt cx="5029201" cy="4110743"/>
        </a:xfrm>
      </xdr:grpSpPr>
      <xdr:sp macro="" textlink="">
        <xdr:nvSpPr>
          <xdr:cNvPr id="315" name="Овал 314">
            <a:extLst>
              <a:ext uri="{FF2B5EF4-FFF2-40B4-BE49-F238E27FC236}">
                <a16:creationId xmlns:a16="http://schemas.microsoft.com/office/drawing/2014/main" id="{00000000-0008-0000-0300-00003B010000}"/>
              </a:ext>
            </a:extLst>
          </xdr:cNvPr>
          <xdr:cNvSpPr/>
        </xdr:nvSpPr>
        <xdr:spPr>
          <a:xfrm>
            <a:off x="1076325" y="724852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sp macro="" textlink="">
        <xdr:nvSpPr>
          <xdr:cNvPr id="316" name="Овал 315">
            <a:extLst>
              <a:ext uri="{FF2B5EF4-FFF2-40B4-BE49-F238E27FC236}">
                <a16:creationId xmlns:a16="http://schemas.microsoft.com/office/drawing/2014/main" id="{00000000-0008-0000-0300-00003C010000}"/>
              </a:ext>
            </a:extLst>
          </xdr:cNvPr>
          <xdr:cNvSpPr/>
        </xdr:nvSpPr>
        <xdr:spPr>
          <a:xfrm>
            <a:off x="1076325" y="10096500"/>
            <a:ext cx="152400"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xnSp macro="">
        <xdr:nvCxnSpPr>
          <xdr:cNvPr id="317" name="Прямая со стрелкой 316">
            <a:extLst>
              <a:ext uri="{FF2B5EF4-FFF2-40B4-BE49-F238E27FC236}">
                <a16:creationId xmlns:a16="http://schemas.microsoft.com/office/drawing/2014/main" id="{00000000-0008-0000-0300-00003D010000}"/>
              </a:ext>
            </a:extLst>
          </xdr:cNvPr>
          <xdr:cNvCxnSpPr/>
        </xdr:nvCxnSpPr>
        <xdr:spPr>
          <a:xfrm>
            <a:off x="933450" y="6800850"/>
            <a:ext cx="0" cy="51435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18" name="Прямая со стрелкой 317">
            <a:extLst>
              <a:ext uri="{FF2B5EF4-FFF2-40B4-BE49-F238E27FC236}">
                <a16:creationId xmlns:a16="http://schemas.microsoft.com/office/drawing/2014/main" id="{00000000-0008-0000-0300-00003E010000}"/>
              </a:ext>
            </a:extLst>
          </xdr:cNvPr>
          <xdr:cNvCxnSpPr/>
        </xdr:nvCxnSpPr>
        <xdr:spPr>
          <a:xfrm>
            <a:off x="923925" y="10182225"/>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19" name="Овал 318">
            <a:extLst>
              <a:ext uri="{FF2B5EF4-FFF2-40B4-BE49-F238E27FC236}">
                <a16:creationId xmlns:a16="http://schemas.microsoft.com/office/drawing/2014/main" id="{00000000-0008-0000-0300-00003F010000}"/>
              </a:ext>
            </a:extLst>
          </xdr:cNvPr>
          <xdr:cNvSpPr/>
        </xdr:nvSpPr>
        <xdr:spPr>
          <a:xfrm>
            <a:off x="5619750" y="7239000"/>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sp macro="" textlink="">
        <xdr:nvSpPr>
          <xdr:cNvPr id="320" name="Овал 319">
            <a:extLst>
              <a:ext uri="{FF2B5EF4-FFF2-40B4-BE49-F238E27FC236}">
                <a16:creationId xmlns:a16="http://schemas.microsoft.com/office/drawing/2014/main" id="{00000000-0008-0000-0300-000040010000}"/>
              </a:ext>
            </a:extLst>
          </xdr:cNvPr>
          <xdr:cNvSpPr/>
        </xdr:nvSpPr>
        <xdr:spPr>
          <a:xfrm>
            <a:off x="5629275" y="10106025"/>
            <a:ext cx="152400"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xnSp macro="">
        <xdr:nvCxnSpPr>
          <xdr:cNvPr id="321" name="Прямая со стрелкой 320">
            <a:extLst>
              <a:ext uri="{FF2B5EF4-FFF2-40B4-BE49-F238E27FC236}">
                <a16:creationId xmlns:a16="http://schemas.microsoft.com/office/drawing/2014/main" id="{00000000-0008-0000-0300-000041010000}"/>
              </a:ext>
            </a:extLst>
          </xdr:cNvPr>
          <xdr:cNvCxnSpPr/>
        </xdr:nvCxnSpPr>
        <xdr:spPr>
          <a:xfrm>
            <a:off x="5943600" y="6810375"/>
            <a:ext cx="0" cy="51435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22" name="Прямая со стрелкой 321">
            <a:extLst>
              <a:ext uri="{FF2B5EF4-FFF2-40B4-BE49-F238E27FC236}">
                <a16:creationId xmlns:a16="http://schemas.microsoft.com/office/drawing/2014/main" id="{00000000-0008-0000-0300-000042010000}"/>
              </a:ext>
            </a:extLst>
          </xdr:cNvPr>
          <xdr:cNvCxnSpPr/>
        </xdr:nvCxnSpPr>
        <xdr:spPr>
          <a:xfrm>
            <a:off x="5953125" y="10191750"/>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23" name="Прямая со стрелкой 322">
            <a:extLst>
              <a:ext uri="{FF2B5EF4-FFF2-40B4-BE49-F238E27FC236}">
                <a16:creationId xmlns:a16="http://schemas.microsoft.com/office/drawing/2014/main" id="{00000000-0008-0000-0300-000043010000}"/>
              </a:ext>
            </a:extLst>
          </xdr:cNvPr>
          <xdr:cNvCxnSpPr/>
        </xdr:nvCxnSpPr>
        <xdr:spPr>
          <a:xfrm flipH="1" flipV="1">
            <a:off x="1076955" y="6604882"/>
            <a:ext cx="1637670" cy="4226"/>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24" name="Прямая со стрелкой 323">
            <a:extLst>
              <a:ext uri="{FF2B5EF4-FFF2-40B4-BE49-F238E27FC236}">
                <a16:creationId xmlns:a16="http://schemas.microsoft.com/office/drawing/2014/main" id="{00000000-0008-0000-0300-000044010000}"/>
              </a:ext>
            </a:extLst>
          </xdr:cNvPr>
          <xdr:cNvCxnSpPr/>
        </xdr:nvCxnSpPr>
        <xdr:spPr>
          <a:xfrm flipH="1" flipV="1">
            <a:off x="4136136" y="6608195"/>
            <a:ext cx="1637256" cy="4226"/>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25" name="Прямая со стрелкой 324">
            <a:extLst>
              <a:ext uri="{FF2B5EF4-FFF2-40B4-BE49-F238E27FC236}">
                <a16:creationId xmlns:a16="http://schemas.microsoft.com/office/drawing/2014/main" id="{00000000-0008-0000-0300-000045010000}"/>
              </a:ext>
            </a:extLst>
          </xdr:cNvPr>
          <xdr:cNvCxnSpPr/>
        </xdr:nvCxnSpPr>
        <xdr:spPr>
          <a:xfrm flipH="1">
            <a:off x="3413263" y="6814776"/>
            <a:ext cx="12942" cy="3900849"/>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26" name="Овал 325">
            <a:extLst>
              <a:ext uri="{FF2B5EF4-FFF2-40B4-BE49-F238E27FC236}">
                <a16:creationId xmlns:a16="http://schemas.microsoft.com/office/drawing/2014/main" id="{00000000-0008-0000-0300-000046010000}"/>
              </a:ext>
            </a:extLst>
          </xdr:cNvPr>
          <xdr:cNvSpPr/>
        </xdr:nvSpPr>
        <xdr:spPr>
          <a:xfrm>
            <a:off x="5629275" y="858202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sp macro="" textlink="">
        <xdr:nvSpPr>
          <xdr:cNvPr id="327" name="Овал 326">
            <a:extLst>
              <a:ext uri="{FF2B5EF4-FFF2-40B4-BE49-F238E27FC236}">
                <a16:creationId xmlns:a16="http://schemas.microsoft.com/office/drawing/2014/main" id="{00000000-0008-0000-0300-000047010000}"/>
              </a:ext>
            </a:extLst>
          </xdr:cNvPr>
          <xdr:cNvSpPr/>
        </xdr:nvSpPr>
        <xdr:spPr>
          <a:xfrm>
            <a:off x="1066800" y="858202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xnSp macro="">
        <xdr:nvCxnSpPr>
          <xdr:cNvPr id="328" name="Прямая со стрелкой 327">
            <a:extLst>
              <a:ext uri="{FF2B5EF4-FFF2-40B4-BE49-F238E27FC236}">
                <a16:creationId xmlns:a16="http://schemas.microsoft.com/office/drawing/2014/main" id="{00000000-0008-0000-0300-000048010000}"/>
              </a:ext>
            </a:extLst>
          </xdr:cNvPr>
          <xdr:cNvCxnSpPr/>
        </xdr:nvCxnSpPr>
        <xdr:spPr>
          <a:xfrm>
            <a:off x="5943600" y="8667750"/>
            <a:ext cx="9526" cy="148590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29" name="Прямая со стрелкой 328">
            <a:extLst>
              <a:ext uri="{FF2B5EF4-FFF2-40B4-BE49-F238E27FC236}">
                <a16:creationId xmlns:a16="http://schemas.microsoft.com/office/drawing/2014/main" id="{00000000-0008-0000-0300-000049010000}"/>
              </a:ext>
            </a:extLst>
          </xdr:cNvPr>
          <xdr:cNvCxnSpPr/>
        </xdr:nvCxnSpPr>
        <xdr:spPr>
          <a:xfrm>
            <a:off x="923925" y="8667750"/>
            <a:ext cx="9526" cy="1495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xdr:col>
      <xdr:colOff>0</xdr:colOff>
      <xdr:row>68</xdr:row>
      <xdr:rowOff>114300</xdr:rowOff>
    </xdr:from>
    <xdr:to>
      <xdr:col>3</xdr:col>
      <xdr:colOff>9525</xdr:colOff>
      <xdr:row>69</xdr:row>
      <xdr:rowOff>85725</xdr:rowOff>
    </xdr:to>
    <xdr:sp macro="" textlink="">
      <xdr:nvSpPr>
        <xdr:cNvPr id="330" name="Овал 329">
          <a:extLst>
            <a:ext uri="{FF2B5EF4-FFF2-40B4-BE49-F238E27FC236}">
              <a16:creationId xmlns:a16="http://schemas.microsoft.com/office/drawing/2014/main" id="{00000000-0008-0000-0300-00004A010000}"/>
            </a:ext>
          </a:extLst>
        </xdr:cNvPr>
        <xdr:cNvSpPr/>
      </xdr:nvSpPr>
      <xdr:spPr>
        <a:xfrm>
          <a:off x="13877925" y="12896850"/>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2</xdr:col>
      <xdr:colOff>0</xdr:colOff>
      <xdr:row>83</xdr:row>
      <xdr:rowOff>104775</xdr:rowOff>
    </xdr:from>
    <xdr:to>
      <xdr:col>3</xdr:col>
      <xdr:colOff>0</xdr:colOff>
      <xdr:row>84</xdr:row>
      <xdr:rowOff>76200</xdr:rowOff>
    </xdr:to>
    <xdr:sp macro="" textlink="">
      <xdr:nvSpPr>
        <xdr:cNvPr id="331" name="Овал 330">
          <a:extLst>
            <a:ext uri="{FF2B5EF4-FFF2-40B4-BE49-F238E27FC236}">
              <a16:creationId xmlns:a16="http://schemas.microsoft.com/office/drawing/2014/main" id="{00000000-0008-0000-0300-00004B010000}"/>
            </a:ext>
          </a:extLst>
        </xdr:cNvPr>
        <xdr:cNvSpPr/>
      </xdr:nvSpPr>
      <xdr:spPr>
        <a:xfrm>
          <a:off x="13877925" y="15744825"/>
          <a:ext cx="152400"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1</xdr:col>
      <xdr:colOff>304800</xdr:colOff>
      <xdr:row>66</xdr:row>
      <xdr:rowOff>0</xdr:rowOff>
    </xdr:from>
    <xdr:to>
      <xdr:col>1</xdr:col>
      <xdr:colOff>304800</xdr:colOff>
      <xdr:row>68</xdr:row>
      <xdr:rowOff>180975</xdr:rowOff>
    </xdr:to>
    <xdr:cxnSp macro="">
      <xdr:nvCxnSpPr>
        <xdr:cNvPr id="332" name="Прямая со стрелкой 331">
          <a:extLst>
            <a:ext uri="{FF2B5EF4-FFF2-40B4-BE49-F238E27FC236}">
              <a16:creationId xmlns:a16="http://schemas.microsoft.com/office/drawing/2014/main" id="{00000000-0008-0000-0300-00004C010000}"/>
            </a:ext>
          </a:extLst>
        </xdr:cNvPr>
        <xdr:cNvCxnSpPr/>
      </xdr:nvCxnSpPr>
      <xdr:spPr>
        <a:xfrm>
          <a:off x="13735050" y="12449175"/>
          <a:ext cx="0" cy="51435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295275</xdr:colOff>
      <xdr:row>84</xdr:row>
      <xdr:rowOff>0</xdr:rowOff>
    </xdr:from>
    <xdr:to>
      <xdr:col>1</xdr:col>
      <xdr:colOff>295275</xdr:colOff>
      <xdr:row>86</xdr:row>
      <xdr:rowOff>133350</xdr:rowOff>
    </xdr:to>
    <xdr:cxnSp macro="">
      <xdr:nvCxnSpPr>
        <xdr:cNvPr id="333" name="Прямая со стрелкой 332">
          <a:extLst>
            <a:ext uri="{FF2B5EF4-FFF2-40B4-BE49-F238E27FC236}">
              <a16:creationId xmlns:a16="http://schemas.microsoft.com/office/drawing/2014/main" id="{00000000-0008-0000-0300-00004D010000}"/>
            </a:ext>
          </a:extLst>
        </xdr:cNvPr>
        <xdr:cNvCxnSpPr/>
      </xdr:nvCxnSpPr>
      <xdr:spPr>
        <a:xfrm>
          <a:off x="13725525" y="15830550"/>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600075</xdr:colOff>
      <xdr:row>68</xdr:row>
      <xdr:rowOff>104775</xdr:rowOff>
    </xdr:from>
    <xdr:to>
      <xdr:col>18</xdr:col>
      <xdr:colOff>0</xdr:colOff>
      <xdr:row>69</xdr:row>
      <xdr:rowOff>76200</xdr:rowOff>
    </xdr:to>
    <xdr:sp macro="" textlink="">
      <xdr:nvSpPr>
        <xdr:cNvPr id="334" name="Овал 333">
          <a:extLst>
            <a:ext uri="{FF2B5EF4-FFF2-40B4-BE49-F238E27FC236}">
              <a16:creationId xmlns:a16="http://schemas.microsoft.com/office/drawing/2014/main" id="{00000000-0008-0000-0300-00004E010000}"/>
            </a:ext>
          </a:extLst>
        </xdr:cNvPr>
        <xdr:cNvSpPr/>
      </xdr:nvSpPr>
      <xdr:spPr>
        <a:xfrm>
          <a:off x="18421350" y="1288732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17</xdr:col>
      <xdr:colOff>0</xdr:colOff>
      <xdr:row>83</xdr:row>
      <xdr:rowOff>114300</xdr:rowOff>
    </xdr:from>
    <xdr:to>
      <xdr:col>18</xdr:col>
      <xdr:colOff>0</xdr:colOff>
      <xdr:row>84</xdr:row>
      <xdr:rowOff>85725</xdr:rowOff>
    </xdr:to>
    <xdr:sp macro="" textlink="">
      <xdr:nvSpPr>
        <xdr:cNvPr id="335" name="Овал 334">
          <a:extLst>
            <a:ext uri="{FF2B5EF4-FFF2-40B4-BE49-F238E27FC236}">
              <a16:creationId xmlns:a16="http://schemas.microsoft.com/office/drawing/2014/main" id="{00000000-0008-0000-0300-00004F010000}"/>
            </a:ext>
          </a:extLst>
        </xdr:cNvPr>
        <xdr:cNvSpPr/>
      </xdr:nvSpPr>
      <xdr:spPr>
        <a:xfrm>
          <a:off x="18430875" y="15754350"/>
          <a:ext cx="152400"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18</xdr:col>
      <xdr:colOff>161925</xdr:colOff>
      <xdr:row>66</xdr:row>
      <xdr:rowOff>9525</xdr:rowOff>
    </xdr:from>
    <xdr:to>
      <xdr:col>18</xdr:col>
      <xdr:colOff>161925</xdr:colOff>
      <xdr:row>69</xdr:row>
      <xdr:rowOff>0</xdr:rowOff>
    </xdr:to>
    <xdr:cxnSp macro="">
      <xdr:nvCxnSpPr>
        <xdr:cNvPr id="336" name="Прямая со стрелкой 335">
          <a:extLst>
            <a:ext uri="{FF2B5EF4-FFF2-40B4-BE49-F238E27FC236}">
              <a16:creationId xmlns:a16="http://schemas.microsoft.com/office/drawing/2014/main" id="{00000000-0008-0000-0300-000050010000}"/>
            </a:ext>
          </a:extLst>
        </xdr:cNvPr>
        <xdr:cNvCxnSpPr/>
      </xdr:nvCxnSpPr>
      <xdr:spPr>
        <a:xfrm>
          <a:off x="18745200" y="12458700"/>
          <a:ext cx="0" cy="51435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171450</xdr:colOff>
      <xdr:row>84</xdr:row>
      <xdr:rowOff>9525</xdr:rowOff>
    </xdr:from>
    <xdr:to>
      <xdr:col>18</xdr:col>
      <xdr:colOff>171450</xdr:colOff>
      <xdr:row>87</xdr:row>
      <xdr:rowOff>0</xdr:rowOff>
    </xdr:to>
    <xdr:cxnSp macro="">
      <xdr:nvCxnSpPr>
        <xdr:cNvPr id="337" name="Прямая со стрелкой 336">
          <a:extLst>
            <a:ext uri="{FF2B5EF4-FFF2-40B4-BE49-F238E27FC236}">
              <a16:creationId xmlns:a16="http://schemas.microsoft.com/office/drawing/2014/main" id="{00000000-0008-0000-0300-000051010000}"/>
            </a:ext>
          </a:extLst>
        </xdr:cNvPr>
        <xdr:cNvCxnSpPr/>
      </xdr:nvCxnSpPr>
      <xdr:spPr>
        <a:xfrm>
          <a:off x="18754725" y="15840075"/>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630</xdr:colOff>
      <xdr:row>65</xdr:row>
      <xdr:rowOff>4057</xdr:rowOff>
    </xdr:from>
    <xdr:to>
      <xdr:col>8</xdr:col>
      <xdr:colOff>0</xdr:colOff>
      <xdr:row>65</xdr:row>
      <xdr:rowOff>8283</xdr:rowOff>
    </xdr:to>
    <xdr:cxnSp macro="">
      <xdr:nvCxnSpPr>
        <xdr:cNvPr id="338" name="Прямая со стрелкой 337">
          <a:extLst>
            <a:ext uri="{FF2B5EF4-FFF2-40B4-BE49-F238E27FC236}">
              <a16:creationId xmlns:a16="http://schemas.microsoft.com/office/drawing/2014/main" id="{00000000-0008-0000-0300-000052010000}"/>
            </a:ext>
          </a:extLst>
        </xdr:cNvPr>
        <xdr:cNvCxnSpPr/>
      </xdr:nvCxnSpPr>
      <xdr:spPr>
        <a:xfrm flipH="1" flipV="1">
          <a:off x="13878555" y="12253207"/>
          <a:ext cx="1637670" cy="4226"/>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459486</xdr:colOff>
      <xdr:row>65</xdr:row>
      <xdr:rowOff>7370</xdr:rowOff>
    </xdr:from>
    <xdr:to>
      <xdr:col>17</xdr:col>
      <xdr:colOff>144117</xdr:colOff>
      <xdr:row>65</xdr:row>
      <xdr:rowOff>11596</xdr:rowOff>
    </xdr:to>
    <xdr:cxnSp macro="">
      <xdr:nvCxnSpPr>
        <xdr:cNvPr id="339" name="Прямая со стрелкой 338">
          <a:extLst>
            <a:ext uri="{FF2B5EF4-FFF2-40B4-BE49-F238E27FC236}">
              <a16:creationId xmlns:a16="http://schemas.microsoft.com/office/drawing/2014/main" id="{00000000-0008-0000-0300-000053010000}"/>
            </a:ext>
          </a:extLst>
        </xdr:cNvPr>
        <xdr:cNvCxnSpPr/>
      </xdr:nvCxnSpPr>
      <xdr:spPr>
        <a:xfrm flipH="1" flipV="1">
          <a:off x="16937736" y="12256520"/>
          <a:ext cx="1637256" cy="4226"/>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231913</xdr:colOff>
      <xdr:row>66</xdr:row>
      <xdr:rowOff>13926</xdr:rowOff>
    </xdr:from>
    <xdr:to>
      <xdr:col>9</xdr:col>
      <xdr:colOff>244855</xdr:colOff>
      <xdr:row>87</xdr:row>
      <xdr:rowOff>0</xdr:rowOff>
    </xdr:to>
    <xdr:cxnSp macro="">
      <xdr:nvCxnSpPr>
        <xdr:cNvPr id="340" name="Прямая со стрелкой 339">
          <a:extLst>
            <a:ext uri="{FF2B5EF4-FFF2-40B4-BE49-F238E27FC236}">
              <a16:creationId xmlns:a16="http://schemas.microsoft.com/office/drawing/2014/main" id="{00000000-0008-0000-0300-000054010000}"/>
            </a:ext>
          </a:extLst>
        </xdr:cNvPr>
        <xdr:cNvCxnSpPr/>
      </xdr:nvCxnSpPr>
      <xdr:spPr>
        <a:xfrm flipH="1">
          <a:off x="16214863" y="12463101"/>
          <a:ext cx="12942" cy="3900849"/>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79</xdr:row>
      <xdr:rowOff>114300</xdr:rowOff>
    </xdr:from>
    <xdr:to>
      <xdr:col>3</xdr:col>
      <xdr:colOff>9525</xdr:colOff>
      <xdr:row>80</xdr:row>
      <xdr:rowOff>85725</xdr:rowOff>
    </xdr:to>
    <xdr:sp macro="" textlink="">
      <xdr:nvSpPr>
        <xdr:cNvPr id="341" name="Овал 340">
          <a:extLst>
            <a:ext uri="{FF2B5EF4-FFF2-40B4-BE49-F238E27FC236}">
              <a16:creationId xmlns:a16="http://schemas.microsoft.com/office/drawing/2014/main" id="{00000000-0008-0000-0300-000055010000}"/>
            </a:ext>
          </a:extLst>
        </xdr:cNvPr>
        <xdr:cNvSpPr/>
      </xdr:nvSpPr>
      <xdr:spPr>
        <a:xfrm>
          <a:off x="13877925" y="14992350"/>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1</xdr:col>
      <xdr:colOff>295275</xdr:colOff>
      <xdr:row>80</xdr:row>
      <xdr:rowOff>9525</xdr:rowOff>
    </xdr:from>
    <xdr:to>
      <xdr:col>1</xdr:col>
      <xdr:colOff>304801</xdr:colOff>
      <xdr:row>83</xdr:row>
      <xdr:rowOff>171450</xdr:rowOff>
    </xdr:to>
    <xdr:cxnSp macro="">
      <xdr:nvCxnSpPr>
        <xdr:cNvPr id="342" name="Прямая со стрелкой 341">
          <a:extLst>
            <a:ext uri="{FF2B5EF4-FFF2-40B4-BE49-F238E27FC236}">
              <a16:creationId xmlns:a16="http://schemas.microsoft.com/office/drawing/2014/main" id="{00000000-0008-0000-0300-000056010000}"/>
            </a:ext>
          </a:extLst>
        </xdr:cNvPr>
        <xdr:cNvCxnSpPr/>
      </xdr:nvCxnSpPr>
      <xdr:spPr>
        <a:xfrm>
          <a:off x="13725525" y="15078075"/>
          <a:ext cx="9526" cy="733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428625</xdr:colOff>
      <xdr:row>72</xdr:row>
      <xdr:rowOff>114300</xdr:rowOff>
    </xdr:from>
    <xdr:to>
      <xdr:col>2</xdr:col>
      <xdr:colOff>142875</xdr:colOff>
      <xdr:row>73</xdr:row>
      <xdr:rowOff>85725</xdr:rowOff>
    </xdr:to>
    <xdr:sp macro="" textlink="">
      <xdr:nvSpPr>
        <xdr:cNvPr id="343" name="Овал 342">
          <a:extLst>
            <a:ext uri="{FF2B5EF4-FFF2-40B4-BE49-F238E27FC236}">
              <a16:creationId xmlns:a16="http://schemas.microsoft.com/office/drawing/2014/main" id="{00000000-0008-0000-0300-000057010000}"/>
            </a:ext>
          </a:extLst>
        </xdr:cNvPr>
        <xdr:cNvSpPr/>
      </xdr:nvSpPr>
      <xdr:spPr>
        <a:xfrm>
          <a:off x="13858875" y="13658850"/>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16</xdr:col>
      <xdr:colOff>590550</xdr:colOff>
      <xdr:row>79</xdr:row>
      <xdr:rowOff>104775</xdr:rowOff>
    </xdr:from>
    <xdr:to>
      <xdr:col>17</xdr:col>
      <xdr:colOff>142875</xdr:colOff>
      <xdr:row>80</xdr:row>
      <xdr:rowOff>76200</xdr:rowOff>
    </xdr:to>
    <xdr:sp macro="" textlink="">
      <xdr:nvSpPr>
        <xdr:cNvPr id="344" name="Овал 343">
          <a:extLst>
            <a:ext uri="{FF2B5EF4-FFF2-40B4-BE49-F238E27FC236}">
              <a16:creationId xmlns:a16="http://schemas.microsoft.com/office/drawing/2014/main" id="{00000000-0008-0000-0300-000058010000}"/>
            </a:ext>
          </a:extLst>
        </xdr:cNvPr>
        <xdr:cNvSpPr/>
      </xdr:nvSpPr>
      <xdr:spPr>
        <a:xfrm>
          <a:off x="18411825" y="1498282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16</xdr:col>
      <xdr:colOff>600075</xdr:colOff>
      <xdr:row>72</xdr:row>
      <xdr:rowOff>95250</xdr:rowOff>
    </xdr:from>
    <xdr:to>
      <xdr:col>18</xdr:col>
      <xdr:colOff>0</xdr:colOff>
      <xdr:row>73</xdr:row>
      <xdr:rowOff>66675</xdr:rowOff>
    </xdr:to>
    <xdr:sp macro="" textlink="">
      <xdr:nvSpPr>
        <xdr:cNvPr id="345" name="Овал 344">
          <a:extLst>
            <a:ext uri="{FF2B5EF4-FFF2-40B4-BE49-F238E27FC236}">
              <a16:creationId xmlns:a16="http://schemas.microsoft.com/office/drawing/2014/main" id="{00000000-0008-0000-0300-000059010000}"/>
            </a:ext>
          </a:extLst>
        </xdr:cNvPr>
        <xdr:cNvSpPr/>
      </xdr:nvSpPr>
      <xdr:spPr>
        <a:xfrm>
          <a:off x="18421350" y="13639800"/>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18</xdr:col>
      <xdr:colOff>171450</xdr:colOff>
      <xdr:row>80</xdr:row>
      <xdr:rowOff>9525</xdr:rowOff>
    </xdr:from>
    <xdr:to>
      <xdr:col>18</xdr:col>
      <xdr:colOff>180976</xdr:colOff>
      <xdr:row>83</xdr:row>
      <xdr:rowOff>171450</xdr:rowOff>
    </xdr:to>
    <xdr:cxnSp macro="">
      <xdr:nvCxnSpPr>
        <xdr:cNvPr id="346" name="Прямая со стрелкой 345">
          <a:extLst>
            <a:ext uri="{FF2B5EF4-FFF2-40B4-BE49-F238E27FC236}">
              <a16:creationId xmlns:a16="http://schemas.microsoft.com/office/drawing/2014/main" id="{00000000-0008-0000-0300-00005A010000}"/>
            </a:ext>
          </a:extLst>
        </xdr:cNvPr>
        <xdr:cNvCxnSpPr/>
      </xdr:nvCxnSpPr>
      <xdr:spPr>
        <a:xfrm>
          <a:off x="18754725" y="15078075"/>
          <a:ext cx="9526" cy="733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285750</xdr:colOff>
      <xdr:row>69</xdr:row>
      <xdr:rowOff>19050</xdr:rowOff>
    </xdr:from>
    <xdr:to>
      <xdr:col>1</xdr:col>
      <xdr:colOff>295276</xdr:colOff>
      <xdr:row>72</xdr:row>
      <xdr:rowOff>180975</xdr:rowOff>
    </xdr:to>
    <xdr:cxnSp macro="">
      <xdr:nvCxnSpPr>
        <xdr:cNvPr id="347" name="Прямая со стрелкой 346">
          <a:extLst>
            <a:ext uri="{FF2B5EF4-FFF2-40B4-BE49-F238E27FC236}">
              <a16:creationId xmlns:a16="http://schemas.microsoft.com/office/drawing/2014/main" id="{00000000-0008-0000-0300-00005B010000}"/>
            </a:ext>
          </a:extLst>
        </xdr:cNvPr>
        <xdr:cNvCxnSpPr/>
      </xdr:nvCxnSpPr>
      <xdr:spPr>
        <a:xfrm>
          <a:off x="13716000" y="12992100"/>
          <a:ext cx="9526" cy="733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161925</xdr:colOff>
      <xdr:row>69</xdr:row>
      <xdr:rowOff>28575</xdr:rowOff>
    </xdr:from>
    <xdr:to>
      <xdr:col>18</xdr:col>
      <xdr:colOff>171451</xdr:colOff>
      <xdr:row>73</xdr:row>
      <xdr:rowOff>0</xdr:rowOff>
    </xdr:to>
    <xdr:cxnSp macro="">
      <xdr:nvCxnSpPr>
        <xdr:cNvPr id="348" name="Прямая со стрелкой 347">
          <a:extLst>
            <a:ext uri="{FF2B5EF4-FFF2-40B4-BE49-F238E27FC236}">
              <a16:creationId xmlns:a16="http://schemas.microsoft.com/office/drawing/2014/main" id="{00000000-0008-0000-0300-00005C010000}"/>
            </a:ext>
          </a:extLst>
        </xdr:cNvPr>
        <xdr:cNvCxnSpPr/>
      </xdr:nvCxnSpPr>
      <xdr:spPr>
        <a:xfrm>
          <a:off x="18745200" y="13001625"/>
          <a:ext cx="9526" cy="733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295275</xdr:colOff>
      <xdr:row>107</xdr:row>
      <xdr:rowOff>19050</xdr:rowOff>
    </xdr:from>
    <xdr:to>
      <xdr:col>1</xdr:col>
      <xdr:colOff>295275</xdr:colOff>
      <xdr:row>109</xdr:row>
      <xdr:rowOff>161925</xdr:rowOff>
    </xdr:to>
    <xdr:cxnSp macro="">
      <xdr:nvCxnSpPr>
        <xdr:cNvPr id="349" name="Прямая со стрелкой 348">
          <a:extLst>
            <a:ext uri="{FF2B5EF4-FFF2-40B4-BE49-F238E27FC236}">
              <a16:creationId xmlns:a16="http://schemas.microsoft.com/office/drawing/2014/main" id="{00000000-0008-0000-0300-00005D010000}"/>
            </a:ext>
          </a:extLst>
        </xdr:cNvPr>
        <xdr:cNvCxnSpPr/>
      </xdr:nvCxnSpPr>
      <xdr:spPr>
        <a:xfrm>
          <a:off x="13725525" y="20164425"/>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98</xdr:row>
      <xdr:rowOff>114300</xdr:rowOff>
    </xdr:from>
    <xdr:to>
      <xdr:col>3</xdr:col>
      <xdr:colOff>9525</xdr:colOff>
      <xdr:row>99</xdr:row>
      <xdr:rowOff>85725</xdr:rowOff>
    </xdr:to>
    <xdr:sp macro="" textlink="">
      <xdr:nvSpPr>
        <xdr:cNvPr id="350" name="Овал 349">
          <a:extLst>
            <a:ext uri="{FF2B5EF4-FFF2-40B4-BE49-F238E27FC236}">
              <a16:creationId xmlns:a16="http://schemas.microsoft.com/office/drawing/2014/main" id="{00000000-0008-0000-0300-00005E010000}"/>
            </a:ext>
          </a:extLst>
        </xdr:cNvPr>
        <xdr:cNvSpPr/>
      </xdr:nvSpPr>
      <xdr:spPr>
        <a:xfrm>
          <a:off x="13877925" y="1854517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2</xdr:col>
      <xdr:colOff>0</xdr:colOff>
      <xdr:row>113</xdr:row>
      <xdr:rowOff>104775</xdr:rowOff>
    </xdr:from>
    <xdr:to>
      <xdr:col>3</xdr:col>
      <xdr:colOff>0</xdr:colOff>
      <xdr:row>114</xdr:row>
      <xdr:rowOff>76200</xdr:rowOff>
    </xdr:to>
    <xdr:sp macro="" textlink="">
      <xdr:nvSpPr>
        <xdr:cNvPr id="351" name="Овал 350">
          <a:extLst>
            <a:ext uri="{FF2B5EF4-FFF2-40B4-BE49-F238E27FC236}">
              <a16:creationId xmlns:a16="http://schemas.microsoft.com/office/drawing/2014/main" id="{00000000-0008-0000-0300-00005F010000}"/>
            </a:ext>
          </a:extLst>
        </xdr:cNvPr>
        <xdr:cNvSpPr/>
      </xdr:nvSpPr>
      <xdr:spPr>
        <a:xfrm>
          <a:off x="13877925" y="21393150"/>
          <a:ext cx="152400"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1</xdr:col>
      <xdr:colOff>304800</xdr:colOff>
      <xdr:row>96</xdr:row>
      <xdr:rowOff>0</xdr:rowOff>
    </xdr:from>
    <xdr:to>
      <xdr:col>1</xdr:col>
      <xdr:colOff>304800</xdr:colOff>
      <xdr:row>98</xdr:row>
      <xdr:rowOff>180975</xdr:rowOff>
    </xdr:to>
    <xdr:cxnSp macro="">
      <xdr:nvCxnSpPr>
        <xdr:cNvPr id="352" name="Прямая со стрелкой 351">
          <a:extLst>
            <a:ext uri="{FF2B5EF4-FFF2-40B4-BE49-F238E27FC236}">
              <a16:creationId xmlns:a16="http://schemas.microsoft.com/office/drawing/2014/main" id="{00000000-0008-0000-0300-000060010000}"/>
            </a:ext>
          </a:extLst>
        </xdr:cNvPr>
        <xdr:cNvCxnSpPr/>
      </xdr:nvCxnSpPr>
      <xdr:spPr>
        <a:xfrm>
          <a:off x="13735050" y="18097500"/>
          <a:ext cx="0" cy="51435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295275</xdr:colOff>
      <xdr:row>114</xdr:row>
      <xdr:rowOff>0</xdr:rowOff>
    </xdr:from>
    <xdr:to>
      <xdr:col>1</xdr:col>
      <xdr:colOff>295275</xdr:colOff>
      <xdr:row>116</xdr:row>
      <xdr:rowOff>133350</xdr:rowOff>
    </xdr:to>
    <xdr:cxnSp macro="">
      <xdr:nvCxnSpPr>
        <xdr:cNvPr id="353" name="Прямая со стрелкой 352">
          <a:extLst>
            <a:ext uri="{FF2B5EF4-FFF2-40B4-BE49-F238E27FC236}">
              <a16:creationId xmlns:a16="http://schemas.microsoft.com/office/drawing/2014/main" id="{00000000-0008-0000-0300-000061010000}"/>
            </a:ext>
          </a:extLst>
        </xdr:cNvPr>
        <xdr:cNvCxnSpPr/>
      </xdr:nvCxnSpPr>
      <xdr:spPr>
        <a:xfrm>
          <a:off x="13725525" y="21478875"/>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600075</xdr:colOff>
      <xdr:row>98</xdr:row>
      <xdr:rowOff>104775</xdr:rowOff>
    </xdr:from>
    <xdr:to>
      <xdr:col>18</xdr:col>
      <xdr:colOff>0</xdr:colOff>
      <xdr:row>99</xdr:row>
      <xdr:rowOff>76200</xdr:rowOff>
    </xdr:to>
    <xdr:sp macro="" textlink="">
      <xdr:nvSpPr>
        <xdr:cNvPr id="354" name="Овал 353">
          <a:extLst>
            <a:ext uri="{FF2B5EF4-FFF2-40B4-BE49-F238E27FC236}">
              <a16:creationId xmlns:a16="http://schemas.microsoft.com/office/drawing/2014/main" id="{00000000-0008-0000-0300-000062010000}"/>
            </a:ext>
          </a:extLst>
        </xdr:cNvPr>
        <xdr:cNvSpPr/>
      </xdr:nvSpPr>
      <xdr:spPr>
        <a:xfrm>
          <a:off x="18421350" y="18535650"/>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17</xdr:col>
      <xdr:colOff>0</xdr:colOff>
      <xdr:row>113</xdr:row>
      <xdr:rowOff>114300</xdr:rowOff>
    </xdr:from>
    <xdr:to>
      <xdr:col>18</xdr:col>
      <xdr:colOff>0</xdr:colOff>
      <xdr:row>114</xdr:row>
      <xdr:rowOff>85725</xdr:rowOff>
    </xdr:to>
    <xdr:sp macro="" textlink="">
      <xdr:nvSpPr>
        <xdr:cNvPr id="355" name="Овал 354">
          <a:extLst>
            <a:ext uri="{FF2B5EF4-FFF2-40B4-BE49-F238E27FC236}">
              <a16:creationId xmlns:a16="http://schemas.microsoft.com/office/drawing/2014/main" id="{00000000-0008-0000-0300-000063010000}"/>
            </a:ext>
          </a:extLst>
        </xdr:cNvPr>
        <xdr:cNvSpPr/>
      </xdr:nvSpPr>
      <xdr:spPr>
        <a:xfrm>
          <a:off x="18430875" y="21402675"/>
          <a:ext cx="152400"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18</xdr:col>
      <xdr:colOff>161925</xdr:colOff>
      <xdr:row>96</xdr:row>
      <xdr:rowOff>9525</xdr:rowOff>
    </xdr:from>
    <xdr:to>
      <xdr:col>18</xdr:col>
      <xdr:colOff>161925</xdr:colOff>
      <xdr:row>99</xdr:row>
      <xdr:rowOff>0</xdr:rowOff>
    </xdr:to>
    <xdr:cxnSp macro="">
      <xdr:nvCxnSpPr>
        <xdr:cNvPr id="356" name="Прямая со стрелкой 355">
          <a:extLst>
            <a:ext uri="{FF2B5EF4-FFF2-40B4-BE49-F238E27FC236}">
              <a16:creationId xmlns:a16="http://schemas.microsoft.com/office/drawing/2014/main" id="{00000000-0008-0000-0300-000064010000}"/>
            </a:ext>
          </a:extLst>
        </xdr:cNvPr>
        <xdr:cNvCxnSpPr/>
      </xdr:nvCxnSpPr>
      <xdr:spPr>
        <a:xfrm>
          <a:off x="18745200" y="18107025"/>
          <a:ext cx="0" cy="514350"/>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171450</xdr:colOff>
      <xdr:row>114</xdr:row>
      <xdr:rowOff>9525</xdr:rowOff>
    </xdr:from>
    <xdr:to>
      <xdr:col>18</xdr:col>
      <xdr:colOff>171450</xdr:colOff>
      <xdr:row>117</xdr:row>
      <xdr:rowOff>0</xdr:rowOff>
    </xdr:to>
    <xdr:cxnSp macro="">
      <xdr:nvCxnSpPr>
        <xdr:cNvPr id="357" name="Прямая со стрелкой 356">
          <a:extLst>
            <a:ext uri="{FF2B5EF4-FFF2-40B4-BE49-F238E27FC236}">
              <a16:creationId xmlns:a16="http://schemas.microsoft.com/office/drawing/2014/main" id="{00000000-0008-0000-0300-000065010000}"/>
            </a:ext>
          </a:extLst>
        </xdr:cNvPr>
        <xdr:cNvCxnSpPr/>
      </xdr:nvCxnSpPr>
      <xdr:spPr>
        <a:xfrm>
          <a:off x="18754725" y="21488400"/>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630</xdr:colOff>
      <xdr:row>95</xdr:row>
      <xdr:rowOff>4057</xdr:rowOff>
    </xdr:from>
    <xdr:to>
      <xdr:col>8</xdr:col>
      <xdr:colOff>0</xdr:colOff>
      <xdr:row>95</xdr:row>
      <xdr:rowOff>8283</xdr:rowOff>
    </xdr:to>
    <xdr:cxnSp macro="">
      <xdr:nvCxnSpPr>
        <xdr:cNvPr id="358" name="Прямая со стрелкой 357">
          <a:extLst>
            <a:ext uri="{FF2B5EF4-FFF2-40B4-BE49-F238E27FC236}">
              <a16:creationId xmlns:a16="http://schemas.microsoft.com/office/drawing/2014/main" id="{00000000-0008-0000-0300-000066010000}"/>
            </a:ext>
          </a:extLst>
        </xdr:cNvPr>
        <xdr:cNvCxnSpPr/>
      </xdr:nvCxnSpPr>
      <xdr:spPr>
        <a:xfrm flipH="1" flipV="1">
          <a:off x="13878555" y="17901532"/>
          <a:ext cx="1637670" cy="4226"/>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459486</xdr:colOff>
      <xdr:row>95</xdr:row>
      <xdr:rowOff>7370</xdr:rowOff>
    </xdr:from>
    <xdr:to>
      <xdr:col>17</xdr:col>
      <xdr:colOff>144117</xdr:colOff>
      <xdr:row>95</xdr:row>
      <xdr:rowOff>11596</xdr:rowOff>
    </xdr:to>
    <xdr:cxnSp macro="">
      <xdr:nvCxnSpPr>
        <xdr:cNvPr id="359" name="Прямая со стрелкой 358">
          <a:extLst>
            <a:ext uri="{FF2B5EF4-FFF2-40B4-BE49-F238E27FC236}">
              <a16:creationId xmlns:a16="http://schemas.microsoft.com/office/drawing/2014/main" id="{00000000-0008-0000-0300-000067010000}"/>
            </a:ext>
          </a:extLst>
        </xdr:cNvPr>
        <xdr:cNvCxnSpPr/>
      </xdr:nvCxnSpPr>
      <xdr:spPr>
        <a:xfrm flipH="1" flipV="1">
          <a:off x="16937736" y="17904845"/>
          <a:ext cx="1637256" cy="4226"/>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231913</xdr:colOff>
      <xdr:row>96</xdr:row>
      <xdr:rowOff>13926</xdr:rowOff>
    </xdr:from>
    <xdr:to>
      <xdr:col>9</xdr:col>
      <xdr:colOff>244855</xdr:colOff>
      <xdr:row>117</xdr:row>
      <xdr:rowOff>0</xdr:rowOff>
    </xdr:to>
    <xdr:cxnSp macro="">
      <xdr:nvCxnSpPr>
        <xdr:cNvPr id="360" name="Прямая со стрелкой 359">
          <a:extLst>
            <a:ext uri="{FF2B5EF4-FFF2-40B4-BE49-F238E27FC236}">
              <a16:creationId xmlns:a16="http://schemas.microsoft.com/office/drawing/2014/main" id="{00000000-0008-0000-0300-000068010000}"/>
            </a:ext>
          </a:extLst>
        </xdr:cNvPr>
        <xdr:cNvCxnSpPr/>
      </xdr:nvCxnSpPr>
      <xdr:spPr>
        <a:xfrm flipH="1">
          <a:off x="16214863" y="18111426"/>
          <a:ext cx="12942" cy="3900849"/>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109</xdr:row>
      <xdr:rowOff>114300</xdr:rowOff>
    </xdr:from>
    <xdr:to>
      <xdr:col>3</xdr:col>
      <xdr:colOff>9525</xdr:colOff>
      <xdr:row>110</xdr:row>
      <xdr:rowOff>85725</xdr:rowOff>
    </xdr:to>
    <xdr:sp macro="" textlink="">
      <xdr:nvSpPr>
        <xdr:cNvPr id="361" name="Овал 360">
          <a:extLst>
            <a:ext uri="{FF2B5EF4-FFF2-40B4-BE49-F238E27FC236}">
              <a16:creationId xmlns:a16="http://schemas.microsoft.com/office/drawing/2014/main" id="{00000000-0008-0000-0300-000069010000}"/>
            </a:ext>
          </a:extLst>
        </xdr:cNvPr>
        <xdr:cNvSpPr/>
      </xdr:nvSpPr>
      <xdr:spPr>
        <a:xfrm>
          <a:off x="13877925" y="2064067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1</xdr:col>
      <xdr:colOff>295275</xdr:colOff>
      <xdr:row>110</xdr:row>
      <xdr:rowOff>9525</xdr:rowOff>
    </xdr:from>
    <xdr:to>
      <xdr:col>1</xdr:col>
      <xdr:colOff>304801</xdr:colOff>
      <xdr:row>113</xdr:row>
      <xdr:rowOff>171450</xdr:rowOff>
    </xdr:to>
    <xdr:cxnSp macro="">
      <xdr:nvCxnSpPr>
        <xdr:cNvPr id="362" name="Прямая со стрелкой 361">
          <a:extLst>
            <a:ext uri="{FF2B5EF4-FFF2-40B4-BE49-F238E27FC236}">
              <a16:creationId xmlns:a16="http://schemas.microsoft.com/office/drawing/2014/main" id="{00000000-0008-0000-0300-00006A010000}"/>
            </a:ext>
          </a:extLst>
        </xdr:cNvPr>
        <xdr:cNvCxnSpPr/>
      </xdr:nvCxnSpPr>
      <xdr:spPr>
        <a:xfrm>
          <a:off x="13725525" y="20726400"/>
          <a:ext cx="9526" cy="733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428625</xdr:colOff>
      <xdr:row>102</xdr:row>
      <xdr:rowOff>114300</xdr:rowOff>
    </xdr:from>
    <xdr:to>
      <xdr:col>2</xdr:col>
      <xdr:colOff>142875</xdr:colOff>
      <xdr:row>103</xdr:row>
      <xdr:rowOff>85725</xdr:rowOff>
    </xdr:to>
    <xdr:sp macro="" textlink="">
      <xdr:nvSpPr>
        <xdr:cNvPr id="363" name="Овал 362">
          <a:extLst>
            <a:ext uri="{FF2B5EF4-FFF2-40B4-BE49-F238E27FC236}">
              <a16:creationId xmlns:a16="http://schemas.microsoft.com/office/drawing/2014/main" id="{00000000-0008-0000-0300-00006B010000}"/>
            </a:ext>
          </a:extLst>
        </xdr:cNvPr>
        <xdr:cNvSpPr/>
      </xdr:nvSpPr>
      <xdr:spPr>
        <a:xfrm>
          <a:off x="13858875" y="1930717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16</xdr:col>
      <xdr:colOff>590550</xdr:colOff>
      <xdr:row>109</xdr:row>
      <xdr:rowOff>104775</xdr:rowOff>
    </xdr:from>
    <xdr:to>
      <xdr:col>17</xdr:col>
      <xdr:colOff>142875</xdr:colOff>
      <xdr:row>110</xdr:row>
      <xdr:rowOff>76200</xdr:rowOff>
    </xdr:to>
    <xdr:sp macro="" textlink="">
      <xdr:nvSpPr>
        <xdr:cNvPr id="364" name="Овал 363">
          <a:extLst>
            <a:ext uri="{FF2B5EF4-FFF2-40B4-BE49-F238E27FC236}">
              <a16:creationId xmlns:a16="http://schemas.microsoft.com/office/drawing/2014/main" id="{00000000-0008-0000-0300-00006C010000}"/>
            </a:ext>
          </a:extLst>
        </xdr:cNvPr>
        <xdr:cNvSpPr/>
      </xdr:nvSpPr>
      <xdr:spPr>
        <a:xfrm>
          <a:off x="18411825" y="20631150"/>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16</xdr:col>
      <xdr:colOff>600075</xdr:colOff>
      <xdr:row>102</xdr:row>
      <xdr:rowOff>95250</xdr:rowOff>
    </xdr:from>
    <xdr:to>
      <xdr:col>18</xdr:col>
      <xdr:colOff>0</xdr:colOff>
      <xdr:row>103</xdr:row>
      <xdr:rowOff>66675</xdr:rowOff>
    </xdr:to>
    <xdr:sp macro="" textlink="">
      <xdr:nvSpPr>
        <xdr:cNvPr id="365" name="Овал 364">
          <a:extLst>
            <a:ext uri="{FF2B5EF4-FFF2-40B4-BE49-F238E27FC236}">
              <a16:creationId xmlns:a16="http://schemas.microsoft.com/office/drawing/2014/main" id="{00000000-0008-0000-0300-00006D010000}"/>
            </a:ext>
          </a:extLst>
        </xdr:cNvPr>
        <xdr:cNvSpPr/>
      </xdr:nvSpPr>
      <xdr:spPr>
        <a:xfrm>
          <a:off x="18421350" y="1928812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18</xdr:col>
      <xdr:colOff>171450</xdr:colOff>
      <xdr:row>110</xdr:row>
      <xdr:rowOff>9525</xdr:rowOff>
    </xdr:from>
    <xdr:to>
      <xdr:col>18</xdr:col>
      <xdr:colOff>180976</xdr:colOff>
      <xdr:row>113</xdr:row>
      <xdr:rowOff>171450</xdr:rowOff>
    </xdr:to>
    <xdr:cxnSp macro="">
      <xdr:nvCxnSpPr>
        <xdr:cNvPr id="366" name="Прямая со стрелкой 365">
          <a:extLst>
            <a:ext uri="{FF2B5EF4-FFF2-40B4-BE49-F238E27FC236}">
              <a16:creationId xmlns:a16="http://schemas.microsoft.com/office/drawing/2014/main" id="{00000000-0008-0000-0300-00006E010000}"/>
            </a:ext>
          </a:extLst>
        </xdr:cNvPr>
        <xdr:cNvCxnSpPr/>
      </xdr:nvCxnSpPr>
      <xdr:spPr>
        <a:xfrm>
          <a:off x="18754725" y="20726400"/>
          <a:ext cx="9526" cy="733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285750</xdr:colOff>
      <xdr:row>99</xdr:row>
      <xdr:rowOff>19050</xdr:rowOff>
    </xdr:from>
    <xdr:to>
      <xdr:col>1</xdr:col>
      <xdr:colOff>295276</xdr:colOff>
      <xdr:row>102</xdr:row>
      <xdr:rowOff>180975</xdr:rowOff>
    </xdr:to>
    <xdr:cxnSp macro="">
      <xdr:nvCxnSpPr>
        <xdr:cNvPr id="367" name="Прямая со стрелкой 366">
          <a:extLst>
            <a:ext uri="{FF2B5EF4-FFF2-40B4-BE49-F238E27FC236}">
              <a16:creationId xmlns:a16="http://schemas.microsoft.com/office/drawing/2014/main" id="{00000000-0008-0000-0300-00006F010000}"/>
            </a:ext>
          </a:extLst>
        </xdr:cNvPr>
        <xdr:cNvCxnSpPr/>
      </xdr:nvCxnSpPr>
      <xdr:spPr>
        <a:xfrm>
          <a:off x="13716000" y="18640425"/>
          <a:ext cx="9526" cy="733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161925</xdr:colOff>
      <xdr:row>99</xdr:row>
      <xdr:rowOff>28575</xdr:rowOff>
    </xdr:from>
    <xdr:to>
      <xdr:col>18</xdr:col>
      <xdr:colOff>171451</xdr:colOff>
      <xdr:row>103</xdr:row>
      <xdr:rowOff>0</xdr:rowOff>
    </xdr:to>
    <xdr:cxnSp macro="">
      <xdr:nvCxnSpPr>
        <xdr:cNvPr id="368" name="Прямая со стрелкой 367">
          <a:extLst>
            <a:ext uri="{FF2B5EF4-FFF2-40B4-BE49-F238E27FC236}">
              <a16:creationId xmlns:a16="http://schemas.microsoft.com/office/drawing/2014/main" id="{00000000-0008-0000-0300-000070010000}"/>
            </a:ext>
          </a:extLst>
        </xdr:cNvPr>
        <xdr:cNvCxnSpPr/>
      </xdr:nvCxnSpPr>
      <xdr:spPr>
        <a:xfrm>
          <a:off x="18745200" y="18649950"/>
          <a:ext cx="9526" cy="733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106</xdr:row>
      <xdr:rowOff>95250</xdr:rowOff>
    </xdr:from>
    <xdr:to>
      <xdr:col>3</xdr:col>
      <xdr:colOff>9525</xdr:colOff>
      <xdr:row>107</xdr:row>
      <xdr:rowOff>66675</xdr:rowOff>
    </xdr:to>
    <xdr:sp macro="" textlink="">
      <xdr:nvSpPr>
        <xdr:cNvPr id="369" name="Овал 368">
          <a:extLst>
            <a:ext uri="{FF2B5EF4-FFF2-40B4-BE49-F238E27FC236}">
              <a16:creationId xmlns:a16="http://schemas.microsoft.com/office/drawing/2014/main" id="{00000000-0008-0000-0300-000071010000}"/>
            </a:ext>
          </a:extLst>
        </xdr:cNvPr>
        <xdr:cNvSpPr/>
      </xdr:nvSpPr>
      <xdr:spPr>
        <a:xfrm>
          <a:off x="13877925" y="2005012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16</xdr:col>
      <xdr:colOff>600075</xdr:colOff>
      <xdr:row>106</xdr:row>
      <xdr:rowOff>95250</xdr:rowOff>
    </xdr:from>
    <xdr:to>
      <xdr:col>18</xdr:col>
      <xdr:colOff>0</xdr:colOff>
      <xdr:row>107</xdr:row>
      <xdr:rowOff>66675</xdr:rowOff>
    </xdr:to>
    <xdr:sp macro="" textlink="">
      <xdr:nvSpPr>
        <xdr:cNvPr id="370" name="Овал 369">
          <a:extLst>
            <a:ext uri="{FF2B5EF4-FFF2-40B4-BE49-F238E27FC236}">
              <a16:creationId xmlns:a16="http://schemas.microsoft.com/office/drawing/2014/main" id="{00000000-0008-0000-0300-000072010000}"/>
            </a:ext>
          </a:extLst>
        </xdr:cNvPr>
        <xdr:cNvSpPr/>
      </xdr:nvSpPr>
      <xdr:spPr>
        <a:xfrm>
          <a:off x="18421350" y="2005012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18</xdr:col>
      <xdr:colOff>171450</xdr:colOff>
      <xdr:row>107</xdr:row>
      <xdr:rowOff>19050</xdr:rowOff>
    </xdr:from>
    <xdr:to>
      <xdr:col>18</xdr:col>
      <xdr:colOff>171450</xdr:colOff>
      <xdr:row>109</xdr:row>
      <xdr:rowOff>161925</xdr:rowOff>
    </xdr:to>
    <xdr:cxnSp macro="">
      <xdr:nvCxnSpPr>
        <xdr:cNvPr id="371" name="Прямая со стрелкой 370">
          <a:extLst>
            <a:ext uri="{FF2B5EF4-FFF2-40B4-BE49-F238E27FC236}">
              <a16:creationId xmlns:a16="http://schemas.microsoft.com/office/drawing/2014/main" id="{00000000-0008-0000-0300-000073010000}"/>
            </a:ext>
          </a:extLst>
        </xdr:cNvPr>
        <xdr:cNvCxnSpPr/>
      </xdr:nvCxnSpPr>
      <xdr:spPr>
        <a:xfrm>
          <a:off x="18754725" y="20164425"/>
          <a:ext cx="0" cy="52387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428625</xdr:colOff>
      <xdr:row>106</xdr:row>
      <xdr:rowOff>114300</xdr:rowOff>
    </xdr:from>
    <xdr:to>
      <xdr:col>2</xdr:col>
      <xdr:colOff>142875</xdr:colOff>
      <xdr:row>107</xdr:row>
      <xdr:rowOff>85725</xdr:rowOff>
    </xdr:to>
    <xdr:sp macro="" textlink="">
      <xdr:nvSpPr>
        <xdr:cNvPr id="376" name="Овал 375">
          <a:extLst>
            <a:ext uri="{FF2B5EF4-FFF2-40B4-BE49-F238E27FC236}">
              <a16:creationId xmlns:a16="http://schemas.microsoft.com/office/drawing/2014/main" id="{00000000-0008-0000-0300-000078010000}"/>
            </a:ext>
          </a:extLst>
        </xdr:cNvPr>
        <xdr:cNvSpPr/>
      </xdr:nvSpPr>
      <xdr:spPr>
        <a:xfrm>
          <a:off x="13858875" y="20069175"/>
          <a:ext cx="161925" cy="161925"/>
        </a:xfrm>
        <a:prstGeom prst="ellipse">
          <a:avLst/>
        </a:prstGeom>
        <a:solidFill>
          <a:schemeClr val="tx1">
            <a:lumMod val="75000"/>
            <a:lumOff val="25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ru-RU" sz="1100"/>
        </a:p>
      </xdr:txBody>
    </xdr:sp>
    <xdr:clientData/>
  </xdr:twoCellAnchor>
  <xdr:twoCellAnchor>
    <xdr:from>
      <xdr:col>1</xdr:col>
      <xdr:colOff>285750</xdr:colOff>
      <xdr:row>103</xdr:row>
      <xdr:rowOff>19050</xdr:rowOff>
    </xdr:from>
    <xdr:to>
      <xdr:col>1</xdr:col>
      <xdr:colOff>295276</xdr:colOff>
      <xdr:row>106</xdr:row>
      <xdr:rowOff>180975</xdr:rowOff>
    </xdr:to>
    <xdr:cxnSp macro="">
      <xdr:nvCxnSpPr>
        <xdr:cNvPr id="377" name="Прямая со стрелкой 376">
          <a:extLst>
            <a:ext uri="{FF2B5EF4-FFF2-40B4-BE49-F238E27FC236}">
              <a16:creationId xmlns:a16="http://schemas.microsoft.com/office/drawing/2014/main" id="{00000000-0008-0000-0300-000079010000}"/>
            </a:ext>
          </a:extLst>
        </xdr:cNvPr>
        <xdr:cNvCxnSpPr/>
      </xdr:nvCxnSpPr>
      <xdr:spPr>
        <a:xfrm>
          <a:off x="13716000" y="19402425"/>
          <a:ext cx="9526" cy="733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161925</xdr:colOff>
      <xdr:row>103</xdr:row>
      <xdr:rowOff>28575</xdr:rowOff>
    </xdr:from>
    <xdr:to>
      <xdr:col>18</xdr:col>
      <xdr:colOff>171451</xdr:colOff>
      <xdr:row>107</xdr:row>
      <xdr:rowOff>0</xdr:rowOff>
    </xdr:to>
    <xdr:cxnSp macro="">
      <xdr:nvCxnSpPr>
        <xdr:cNvPr id="378" name="Прямая со стрелкой 377">
          <a:extLst>
            <a:ext uri="{FF2B5EF4-FFF2-40B4-BE49-F238E27FC236}">
              <a16:creationId xmlns:a16="http://schemas.microsoft.com/office/drawing/2014/main" id="{00000000-0008-0000-0300-00007A010000}"/>
            </a:ext>
          </a:extLst>
        </xdr:cNvPr>
        <xdr:cNvCxnSpPr/>
      </xdr:nvCxnSpPr>
      <xdr:spPr>
        <a:xfrm>
          <a:off x="18745200" y="19411950"/>
          <a:ext cx="9526" cy="7334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285750</xdr:colOff>
      <xdr:row>73</xdr:row>
      <xdr:rowOff>19050</xdr:rowOff>
    </xdr:from>
    <xdr:to>
      <xdr:col>1</xdr:col>
      <xdr:colOff>295275</xdr:colOff>
      <xdr:row>79</xdr:row>
      <xdr:rowOff>180975</xdr:rowOff>
    </xdr:to>
    <xdr:cxnSp macro="">
      <xdr:nvCxnSpPr>
        <xdr:cNvPr id="387" name="Прямая со стрелкой 386">
          <a:extLst>
            <a:ext uri="{FF2B5EF4-FFF2-40B4-BE49-F238E27FC236}">
              <a16:creationId xmlns:a16="http://schemas.microsoft.com/office/drawing/2014/main" id="{00000000-0008-0000-0300-000083010000}"/>
            </a:ext>
          </a:extLst>
        </xdr:cNvPr>
        <xdr:cNvCxnSpPr/>
      </xdr:nvCxnSpPr>
      <xdr:spPr>
        <a:xfrm>
          <a:off x="13716000" y="13754100"/>
          <a:ext cx="9525" cy="13049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161925</xdr:colOff>
      <xdr:row>73</xdr:row>
      <xdr:rowOff>19050</xdr:rowOff>
    </xdr:from>
    <xdr:to>
      <xdr:col>18</xdr:col>
      <xdr:colOff>171450</xdr:colOff>
      <xdr:row>79</xdr:row>
      <xdr:rowOff>180975</xdr:rowOff>
    </xdr:to>
    <xdr:cxnSp macro="">
      <xdr:nvCxnSpPr>
        <xdr:cNvPr id="388" name="Прямая со стрелкой 387">
          <a:extLst>
            <a:ext uri="{FF2B5EF4-FFF2-40B4-BE49-F238E27FC236}">
              <a16:creationId xmlns:a16="http://schemas.microsoft.com/office/drawing/2014/main" id="{00000000-0008-0000-0300-000084010000}"/>
            </a:ext>
          </a:extLst>
        </xdr:cNvPr>
        <xdr:cNvCxnSpPr/>
      </xdr:nvCxnSpPr>
      <xdr:spPr>
        <a:xfrm>
          <a:off x="18745200" y="13754100"/>
          <a:ext cx="9525" cy="1304925"/>
        </a:xfrm>
        <a:prstGeom prst="straightConnector1">
          <a:avLst/>
        </a:prstGeom>
        <a:ln>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44</xdr:row>
      <xdr:rowOff>0</xdr:rowOff>
    </xdr:from>
    <xdr:to>
      <xdr:col>7</xdr:col>
      <xdr:colOff>152401</xdr:colOff>
      <xdr:row>80</xdr:row>
      <xdr:rowOff>14037</xdr:rowOff>
    </xdr:to>
    <xdr:pic>
      <xdr:nvPicPr>
        <xdr:cNvPr id="10" name="Рисунок 9">
          <a:extLst>
            <a:ext uri="{FF2B5EF4-FFF2-40B4-BE49-F238E27FC236}">
              <a16:creationId xmlns:a16="http://schemas.microsoft.com/office/drawing/2014/main" id="{00000000-0008-0000-0800-00000A000000}"/>
            </a:ext>
          </a:extLst>
        </xdr:cNvPr>
        <xdr:cNvPicPr>
          <a:picLocks noChangeAspect="1"/>
        </xdr:cNvPicPr>
      </xdr:nvPicPr>
      <xdr:blipFill>
        <a:blip xmlns:r="http://schemas.openxmlformats.org/officeDocument/2006/relationships" r:embed="rId1"/>
        <a:stretch>
          <a:fillRect/>
        </a:stretch>
      </xdr:blipFill>
      <xdr:spPr>
        <a:xfrm>
          <a:off x="5629275" y="190500"/>
          <a:ext cx="2838451" cy="6872037"/>
        </a:xfrm>
        <a:prstGeom prst="rect">
          <a:avLst/>
        </a:prstGeom>
      </xdr:spPr>
    </xdr:pic>
    <xdr:clientData/>
  </xdr:twoCellAnchor>
  <xdr:twoCellAnchor editAs="oneCell">
    <xdr:from>
      <xdr:col>7</xdr:col>
      <xdr:colOff>323851</xdr:colOff>
      <xdr:row>44</xdr:row>
      <xdr:rowOff>1</xdr:rowOff>
    </xdr:from>
    <xdr:to>
      <xdr:col>10</xdr:col>
      <xdr:colOff>60899</xdr:colOff>
      <xdr:row>80</xdr:row>
      <xdr:rowOff>1</xdr:rowOff>
    </xdr:to>
    <xdr:pic>
      <xdr:nvPicPr>
        <xdr:cNvPr id="11" name="Рисунок 10">
          <a:extLst>
            <a:ext uri="{FF2B5EF4-FFF2-40B4-BE49-F238E27FC236}">
              <a16:creationId xmlns:a16="http://schemas.microsoft.com/office/drawing/2014/main" id="{00000000-0008-0000-0800-00000B000000}"/>
            </a:ext>
          </a:extLst>
        </xdr:cNvPr>
        <xdr:cNvPicPr>
          <a:picLocks noChangeAspect="1"/>
        </xdr:cNvPicPr>
      </xdr:nvPicPr>
      <xdr:blipFill>
        <a:blip xmlns:r="http://schemas.openxmlformats.org/officeDocument/2006/relationships" r:embed="rId2"/>
        <a:stretch>
          <a:fillRect/>
        </a:stretch>
      </xdr:blipFill>
      <xdr:spPr>
        <a:xfrm>
          <a:off x="8639176" y="190501"/>
          <a:ext cx="2823148" cy="6858000"/>
        </a:xfrm>
        <a:prstGeom prst="rect">
          <a:avLst/>
        </a:prstGeom>
      </xdr:spPr>
    </xdr:pic>
    <xdr:clientData/>
  </xdr:twoCellAnchor>
  <xdr:twoCellAnchor editAs="oneCell">
    <xdr:from>
      <xdr:col>10</xdr:col>
      <xdr:colOff>247650</xdr:colOff>
      <xdr:row>44</xdr:row>
      <xdr:rowOff>9525</xdr:rowOff>
    </xdr:from>
    <xdr:to>
      <xdr:col>15</xdr:col>
      <xdr:colOff>117685</xdr:colOff>
      <xdr:row>80</xdr:row>
      <xdr:rowOff>9525</xdr:rowOff>
    </xdr:to>
    <xdr:pic>
      <xdr:nvPicPr>
        <xdr:cNvPr id="12" name="Рисунок 11">
          <a:extLst>
            <a:ext uri="{FF2B5EF4-FFF2-40B4-BE49-F238E27FC236}">
              <a16:creationId xmlns:a16="http://schemas.microsoft.com/office/drawing/2014/main" id="{00000000-0008-0000-0800-00000C000000}"/>
            </a:ext>
          </a:extLst>
        </xdr:cNvPr>
        <xdr:cNvPicPr>
          <a:picLocks noChangeAspect="1"/>
        </xdr:cNvPicPr>
      </xdr:nvPicPr>
      <xdr:blipFill>
        <a:blip xmlns:r="http://schemas.openxmlformats.org/officeDocument/2006/relationships" r:embed="rId3"/>
        <a:stretch>
          <a:fillRect/>
        </a:stretch>
      </xdr:blipFill>
      <xdr:spPr>
        <a:xfrm>
          <a:off x="11630025" y="200025"/>
          <a:ext cx="2822785" cy="6858000"/>
        </a:xfrm>
        <a:prstGeom prst="rect">
          <a:avLst/>
        </a:prstGeom>
      </xdr:spPr>
    </xdr:pic>
    <xdr:clientData/>
  </xdr:twoCellAnchor>
  <xdr:twoCellAnchor editAs="oneCell">
    <xdr:from>
      <xdr:col>0</xdr:col>
      <xdr:colOff>0</xdr:colOff>
      <xdr:row>94</xdr:row>
      <xdr:rowOff>1</xdr:rowOff>
    </xdr:from>
    <xdr:to>
      <xdr:col>0</xdr:col>
      <xdr:colOff>2879965</xdr:colOff>
      <xdr:row>109</xdr:row>
      <xdr:rowOff>1</xdr:rowOff>
    </xdr:to>
    <xdr:pic>
      <xdr:nvPicPr>
        <xdr:cNvPr id="13" name="Рисунок 12">
          <a:extLst>
            <a:ext uri="{FF2B5EF4-FFF2-40B4-BE49-F238E27FC236}">
              <a16:creationId xmlns:a16="http://schemas.microsoft.com/office/drawing/2014/main" id="{00000000-0008-0000-0800-00000D000000}"/>
            </a:ext>
          </a:extLst>
        </xdr:cNvPr>
        <xdr:cNvPicPr>
          <a:picLocks noChangeAspect="1"/>
        </xdr:cNvPicPr>
      </xdr:nvPicPr>
      <xdr:blipFill>
        <a:blip xmlns:r="http://schemas.openxmlformats.org/officeDocument/2006/relationships" r:embed="rId4"/>
        <a:stretch>
          <a:fillRect/>
        </a:stretch>
      </xdr:blipFill>
      <xdr:spPr>
        <a:xfrm>
          <a:off x="0" y="10963276"/>
          <a:ext cx="2879965" cy="2857500"/>
        </a:xfrm>
        <a:prstGeom prst="rect">
          <a:avLst/>
        </a:prstGeom>
      </xdr:spPr>
    </xdr:pic>
    <xdr:clientData/>
  </xdr:twoCellAnchor>
  <xdr:twoCellAnchor editAs="oneCell">
    <xdr:from>
      <xdr:col>0</xdr:col>
      <xdr:colOff>2857500</xdr:colOff>
      <xdr:row>94</xdr:row>
      <xdr:rowOff>0</xdr:rowOff>
    </xdr:from>
    <xdr:to>
      <xdr:col>3</xdr:col>
      <xdr:colOff>95250</xdr:colOff>
      <xdr:row>109</xdr:row>
      <xdr:rowOff>9525</xdr:rowOff>
    </xdr:to>
    <xdr:pic>
      <xdr:nvPicPr>
        <xdr:cNvPr id="14" name="Рисунок 13">
          <a:extLst>
            <a:ext uri="{FF2B5EF4-FFF2-40B4-BE49-F238E27FC236}">
              <a16:creationId xmlns:a16="http://schemas.microsoft.com/office/drawing/2014/main" id="{00000000-0008-0000-0800-00000E000000}"/>
            </a:ext>
          </a:extLst>
        </xdr:cNvPr>
        <xdr:cNvPicPr>
          <a:picLocks noChangeAspect="1"/>
        </xdr:cNvPicPr>
      </xdr:nvPicPr>
      <xdr:blipFill>
        <a:blip xmlns:r="http://schemas.openxmlformats.org/officeDocument/2006/relationships" r:embed="rId5"/>
        <a:stretch>
          <a:fillRect/>
        </a:stretch>
      </xdr:blipFill>
      <xdr:spPr>
        <a:xfrm>
          <a:off x="2857500" y="10963275"/>
          <a:ext cx="2867025" cy="2867025"/>
        </a:xfrm>
        <a:prstGeom prst="rect">
          <a:avLst/>
        </a:prstGeom>
      </xdr:spPr>
    </xdr:pic>
    <xdr:clientData/>
  </xdr:twoCellAnchor>
  <xdr:twoCellAnchor editAs="oneCell">
    <xdr:from>
      <xdr:col>3</xdr:col>
      <xdr:colOff>95250</xdr:colOff>
      <xdr:row>94</xdr:row>
      <xdr:rowOff>0</xdr:rowOff>
    </xdr:from>
    <xdr:to>
      <xdr:col>7</xdr:col>
      <xdr:colOff>336662</xdr:colOff>
      <xdr:row>109</xdr:row>
      <xdr:rowOff>19050</xdr:rowOff>
    </xdr:to>
    <xdr:pic>
      <xdr:nvPicPr>
        <xdr:cNvPr id="15" name="Рисунок 14">
          <a:extLst>
            <a:ext uri="{FF2B5EF4-FFF2-40B4-BE49-F238E27FC236}">
              <a16:creationId xmlns:a16="http://schemas.microsoft.com/office/drawing/2014/main" id="{00000000-0008-0000-0800-00000F000000}"/>
            </a:ext>
          </a:extLst>
        </xdr:cNvPr>
        <xdr:cNvPicPr>
          <a:picLocks noChangeAspect="1"/>
        </xdr:cNvPicPr>
      </xdr:nvPicPr>
      <xdr:blipFill>
        <a:blip xmlns:r="http://schemas.openxmlformats.org/officeDocument/2006/relationships" r:embed="rId6"/>
        <a:stretch>
          <a:fillRect/>
        </a:stretch>
      </xdr:blipFill>
      <xdr:spPr>
        <a:xfrm>
          <a:off x="5724525" y="10963275"/>
          <a:ext cx="2927462" cy="2876550"/>
        </a:xfrm>
        <a:prstGeom prst="rect">
          <a:avLst/>
        </a:prstGeom>
      </xdr:spPr>
    </xdr:pic>
    <xdr:clientData/>
  </xdr:twoCellAnchor>
  <xdr:twoCellAnchor editAs="oneCell">
    <xdr:from>
      <xdr:col>7</xdr:col>
      <xdr:colOff>233741</xdr:colOff>
      <xdr:row>93</xdr:row>
      <xdr:rowOff>180975</xdr:rowOff>
    </xdr:from>
    <xdr:to>
      <xdr:col>11</xdr:col>
      <xdr:colOff>119043</xdr:colOff>
      <xdr:row>109</xdr:row>
      <xdr:rowOff>28575</xdr:rowOff>
    </xdr:to>
    <xdr:pic>
      <xdr:nvPicPr>
        <xdr:cNvPr id="16" name="Рисунок 15">
          <a:extLst>
            <a:ext uri="{FF2B5EF4-FFF2-40B4-BE49-F238E27FC236}">
              <a16:creationId xmlns:a16="http://schemas.microsoft.com/office/drawing/2014/main" id="{00000000-0008-0000-0800-000010000000}"/>
            </a:ext>
          </a:extLst>
        </xdr:cNvPr>
        <xdr:cNvPicPr>
          <a:picLocks noChangeAspect="1"/>
        </xdr:cNvPicPr>
      </xdr:nvPicPr>
      <xdr:blipFill>
        <a:blip xmlns:r="http://schemas.openxmlformats.org/officeDocument/2006/relationships" r:embed="rId7"/>
        <a:stretch>
          <a:fillRect/>
        </a:stretch>
      </xdr:blipFill>
      <xdr:spPr>
        <a:xfrm>
          <a:off x="8549066" y="10953750"/>
          <a:ext cx="3561952" cy="2895600"/>
        </a:xfrm>
        <a:prstGeom prst="rect">
          <a:avLst/>
        </a:prstGeom>
      </xdr:spPr>
    </xdr:pic>
    <xdr:clientData/>
  </xdr:twoCellAnchor>
  <xdr:twoCellAnchor editAs="oneCell">
    <xdr:from>
      <xdr:col>10</xdr:col>
      <xdr:colOff>714375</xdr:colOff>
      <xdr:row>93</xdr:row>
      <xdr:rowOff>180975</xdr:rowOff>
    </xdr:from>
    <xdr:to>
      <xdr:col>17</xdr:col>
      <xdr:colOff>54175</xdr:colOff>
      <xdr:row>109</xdr:row>
      <xdr:rowOff>47625</xdr:rowOff>
    </xdr:to>
    <xdr:pic>
      <xdr:nvPicPr>
        <xdr:cNvPr id="17" name="Рисунок 16">
          <a:extLst>
            <a:ext uri="{FF2B5EF4-FFF2-40B4-BE49-F238E27FC236}">
              <a16:creationId xmlns:a16="http://schemas.microsoft.com/office/drawing/2014/main" id="{00000000-0008-0000-0800-000011000000}"/>
            </a:ext>
          </a:extLst>
        </xdr:cNvPr>
        <xdr:cNvPicPr>
          <a:picLocks noChangeAspect="1"/>
        </xdr:cNvPicPr>
      </xdr:nvPicPr>
      <xdr:blipFill>
        <a:blip xmlns:r="http://schemas.openxmlformats.org/officeDocument/2006/relationships" r:embed="rId8"/>
        <a:stretch>
          <a:fillRect/>
        </a:stretch>
      </xdr:blipFill>
      <xdr:spPr>
        <a:xfrm>
          <a:off x="12096750" y="10953750"/>
          <a:ext cx="3597475" cy="29146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xdr:colOff>
      <xdr:row>24</xdr:row>
      <xdr:rowOff>0</xdr:rowOff>
    </xdr:from>
    <xdr:to>
      <xdr:col>4</xdr:col>
      <xdr:colOff>590552</xdr:colOff>
      <xdr:row>38</xdr:row>
      <xdr:rowOff>177345</xdr:rowOff>
    </xdr:to>
    <xdr:pic>
      <xdr:nvPicPr>
        <xdr:cNvPr id="2" name="Рисунок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4429125" y="190500"/>
          <a:ext cx="4076701" cy="2844345"/>
        </a:xfrm>
        <a:prstGeom prst="rect">
          <a:avLst/>
        </a:prstGeom>
      </xdr:spPr>
    </xdr:pic>
    <xdr:clientData/>
  </xdr:twoCellAnchor>
  <xdr:twoCellAnchor editAs="oneCell">
    <xdr:from>
      <xdr:col>1</xdr:col>
      <xdr:colOff>1</xdr:colOff>
      <xdr:row>40</xdr:row>
      <xdr:rowOff>0</xdr:rowOff>
    </xdr:from>
    <xdr:to>
      <xdr:col>4</xdr:col>
      <xdr:colOff>631326</xdr:colOff>
      <xdr:row>55</xdr:row>
      <xdr:rowOff>66675</xdr:rowOff>
    </xdr:to>
    <xdr:pic>
      <xdr:nvPicPr>
        <xdr:cNvPr id="3" name="Рисунок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a:stretch>
          <a:fillRect/>
        </a:stretch>
      </xdr:blipFill>
      <xdr:spPr>
        <a:xfrm>
          <a:off x="4429125" y="3238500"/>
          <a:ext cx="4117475" cy="29241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7</xdr:col>
      <xdr:colOff>544800</xdr:colOff>
      <xdr:row>10</xdr:row>
      <xdr:rowOff>49500</xdr:rowOff>
    </xdr:to>
    <xdr:pic>
      <xdr:nvPicPr>
        <xdr:cNvPr id="3" name="Рисунок 2" descr="Картинки по запросу &quot;71T950A&quot;">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76800" y="0"/>
          <a:ext cx="1764000" cy="176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xdr:row>
      <xdr:rowOff>0</xdr:rowOff>
    </xdr:from>
    <xdr:to>
      <xdr:col>9</xdr:col>
      <xdr:colOff>304800</xdr:colOff>
      <xdr:row>2</xdr:row>
      <xdr:rowOff>114300</xdr:rowOff>
    </xdr:to>
    <xdr:sp macro="" textlink="">
      <xdr:nvSpPr>
        <xdr:cNvPr id="3075" name="AutoShape 3" descr="Картинки по запросу &quot;71T950A&quot;">
          <a:extLst>
            <a:ext uri="{FF2B5EF4-FFF2-40B4-BE49-F238E27FC236}">
              <a16:creationId xmlns:a16="http://schemas.microsoft.com/office/drawing/2014/main" id="{00000000-0008-0000-0A00-0000030C0000}"/>
            </a:ext>
          </a:extLst>
        </xdr:cNvPr>
        <xdr:cNvSpPr>
          <a:spLocks noChangeAspect="1" noChangeArrowheads="1"/>
        </xdr:cNvSpPr>
      </xdr:nvSpPr>
      <xdr:spPr bwMode="auto">
        <a:xfrm>
          <a:off x="91440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1</xdr:colOff>
      <xdr:row>1</xdr:row>
      <xdr:rowOff>1</xdr:rowOff>
    </xdr:from>
    <xdr:to>
      <xdr:col>11</xdr:col>
      <xdr:colOff>544801</xdr:colOff>
      <xdr:row>10</xdr:row>
      <xdr:rowOff>49501</xdr:rowOff>
    </xdr:to>
    <xdr:pic>
      <xdr:nvPicPr>
        <xdr:cNvPr id="6" name="Рисунок 5" descr="Картинки по запросу &quot;71T950A&quot;">
          <a:extLst>
            <a:ext uri="{FF2B5EF4-FFF2-40B4-BE49-F238E27FC236}">
              <a16:creationId xmlns:a16="http://schemas.microsoft.com/office/drawing/2014/main" id="{00000000-0008-0000-0A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44001" y="1"/>
          <a:ext cx="1764000" cy="176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149802</xdr:colOff>
      <xdr:row>2</xdr:row>
      <xdr:rowOff>53686</xdr:rowOff>
    </xdr:from>
    <xdr:to>
      <xdr:col>3</xdr:col>
      <xdr:colOff>694602</xdr:colOff>
      <xdr:row>11</xdr:row>
      <xdr:rowOff>103186</xdr:rowOff>
    </xdr:to>
    <xdr:pic>
      <xdr:nvPicPr>
        <xdr:cNvPr id="7" name="Рисунок 6" descr="https://platform.vanhoecke.be/media/cache/resolve/full/09350813_ID_P_1_PB_BAU_SALL_AOF_V1.png">
          <a:extLst>
            <a:ext uri="{FF2B5EF4-FFF2-40B4-BE49-F238E27FC236}">
              <a16:creationId xmlns:a16="http://schemas.microsoft.com/office/drawing/2014/main" id="{00000000-0008-0000-0A00-000007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38620" y="434686"/>
          <a:ext cx="1722437" cy="176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590550</xdr:colOff>
      <xdr:row>2</xdr:row>
      <xdr:rowOff>47625</xdr:rowOff>
    </xdr:from>
    <xdr:to>
      <xdr:col>27</xdr:col>
      <xdr:colOff>554325</xdr:colOff>
      <xdr:row>11</xdr:row>
      <xdr:rowOff>97125</xdr:rowOff>
    </xdr:to>
    <xdr:pic>
      <xdr:nvPicPr>
        <xdr:cNvPr id="8" name="Рисунок 7" descr="https://platform.vanhoecke.be/media/cache/resolve/full/09350983_ID_P_1_PB_BAU_SALL_AOF_V1.png">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905750" y="428625"/>
          <a:ext cx="1764000" cy="176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1</xdr:colOff>
      <xdr:row>1</xdr:row>
      <xdr:rowOff>0</xdr:rowOff>
    </xdr:from>
    <xdr:to>
      <xdr:col>31</xdr:col>
      <xdr:colOff>544801</xdr:colOff>
      <xdr:row>10</xdr:row>
      <xdr:rowOff>49500</xdr:rowOff>
    </xdr:to>
    <xdr:pic>
      <xdr:nvPicPr>
        <xdr:cNvPr id="9" name="Рисунок 8" descr="https://platform.vanhoecke.be/media/cache/resolve/full/03810133_ID_P_1_PB_BAU_SALL_AOF_V1.png">
          <a:extLst>
            <a:ext uri="{FF2B5EF4-FFF2-40B4-BE49-F238E27FC236}">
              <a16:creationId xmlns:a16="http://schemas.microsoft.com/office/drawing/2014/main" id="{00000000-0008-0000-0A00-000009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363201" y="0"/>
          <a:ext cx="1764000" cy="176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590550</xdr:colOff>
      <xdr:row>1</xdr:row>
      <xdr:rowOff>133350</xdr:rowOff>
    </xdr:from>
    <xdr:to>
      <xdr:col>35</xdr:col>
      <xdr:colOff>525749</xdr:colOff>
      <xdr:row>10</xdr:row>
      <xdr:rowOff>182850</xdr:rowOff>
    </xdr:to>
    <xdr:pic>
      <xdr:nvPicPr>
        <xdr:cNvPr id="10" name="Рисунок 9" descr="https://platform.vanhoecke.be/media/cache/resolve/full/09351043_ID_P_1_PB_BAU_SALL_AOF_V1.png">
          <a:extLst>
            <a:ext uri="{FF2B5EF4-FFF2-40B4-BE49-F238E27FC236}">
              <a16:creationId xmlns:a16="http://schemas.microsoft.com/office/drawing/2014/main" id="{00000000-0008-0000-0A00-00000A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2782550" y="133350"/>
          <a:ext cx="1764000" cy="176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28576</xdr:colOff>
      <xdr:row>1</xdr:row>
      <xdr:rowOff>161925</xdr:rowOff>
    </xdr:from>
    <xdr:to>
      <xdr:col>39</xdr:col>
      <xdr:colOff>573377</xdr:colOff>
      <xdr:row>11</xdr:row>
      <xdr:rowOff>20925</xdr:rowOff>
    </xdr:to>
    <xdr:pic>
      <xdr:nvPicPr>
        <xdr:cNvPr id="11" name="Рисунок 10" descr="https://platform.vanhoecke.be/media/cache/resolve/full/03810303_ID_P_1_PB_BAU_SALL_AOF_V1.png">
          <a:extLst>
            <a:ext uri="{FF2B5EF4-FFF2-40B4-BE49-F238E27FC236}">
              <a16:creationId xmlns:a16="http://schemas.microsoft.com/office/drawing/2014/main" id="{00000000-0008-0000-0A00-00000B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3615940" y="352425"/>
          <a:ext cx="1722437" cy="176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27</xdr:row>
      <xdr:rowOff>0</xdr:rowOff>
    </xdr:from>
    <xdr:to>
      <xdr:col>3</xdr:col>
      <xdr:colOff>544800</xdr:colOff>
      <xdr:row>36</xdr:row>
      <xdr:rowOff>49500</xdr:rowOff>
    </xdr:to>
    <xdr:pic>
      <xdr:nvPicPr>
        <xdr:cNvPr id="12" name="Рисунок 11" descr="https://platform.vanhoecke.be/media/cache/resolve/full/43192717_BT_P_1_PB_BAU_SALL_AOF_V1.png">
          <a:extLst>
            <a:ext uri="{FF2B5EF4-FFF2-40B4-BE49-F238E27FC236}">
              <a16:creationId xmlns:a16="http://schemas.microsoft.com/office/drawing/2014/main" id="{00000000-0008-0000-0A00-00000C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609600" y="1905000"/>
          <a:ext cx="1764000" cy="176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27</xdr:row>
      <xdr:rowOff>0</xdr:rowOff>
    </xdr:from>
    <xdr:to>
      <xdr:col>7</xdr:col>
      <xdr:colOff>544800</xdr:colOff>
      <xdr:row>36</xdr:row>
      <xdr:rowOff>49500</xdr:rowOff>
    </xdr:to>
    <xdr:pic>
      <xdr:nvPicPr>
        <xdr:cNvPr id="13" name="Рисунок 12" descr="https://platform.vanhoecke.be/media/cache/resolve/full/42542984_BT_P_1_PB_BAU_SALL_AOF_V1.png">
          <a:extLst>
            <a:ext uri="{FF2B5EF4-FFF2-40B4-BE49-F238E27FC236}">
              <a16:creationId xmlns:a16="http://schemas.microsoft.com/office/drawing/2014/main" id="{00000000-0008-0000-0A00-00000D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3048000" y="1905000"/>
          <a:ext cx="1764000" cy="176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27</xdr:row>
      <xdr:rowOff>0</xdr:rowOff>
    </xdr:from>
    <xdr:to>
      <xdr:col>11</xdr:col>
      <xdr:colOff>544800</xdr:colOff>
      <xdr:row>36</xdr:row>
      <xdr:rowOff>49500</xdr:rowOff>
    </xdr:to>
    <xdr:pic>
      <xdr:nvPicPr>
        <xdr:cNvPr id="14" name="Рисунок 13" descr="https://platform.vanhoecke.be/media/cache/resolve/full/49213919_BT_P_1_PB_BAU_SALL_AOF_V1.png">
          <a:extLst>
            <a:ext uri="{FF2B5EF4-FFF2-40B4-BE49-F238E27FC236}">
              <a16:creationId xmlns:a16="http://schemas.microsoft.com/office/drawing/2014/main" id="{00000000-0008-0000-0A00-00000E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5486400" y="1905000"/>
          <a:ext cx="1764000" cy="176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38</xdr:row>
      <xdr:rowOff>0</xdr:rowOff>
    </xdr:from>
    <xdr:to>
      <xdr:col>3</xdr:col>
      <xdr:colOff>544800</xdr:colOff>
      <xdr:row>47</xdr:row>
      <xdr:rowOff>49500</xdr:rowOff>
    </xdr:to>
    <xdr:pic>
      <xdr:nvPicPr>
        <xdr:cNvPr id="15" name="Рисунок 14" descr="https://platform.vanhoecke.be/media/cache/resolve/full/49451261_BT_P_1_PB_BAU_SALL_AOF_V1.png">
          <a:extLst>
            <a:ext uri="{FF2B5EF4-FFF2-40B4-BE49-F238E27FC236}">
              <a16:creationId xmlns:a16="http://schemas.microsoft.com/office/drawing/2014/main" id="{00000000-0008-0000-0A00-00000F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7924800" y="1905000"/>
          <a:ext cx="1764000" cy="176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38</xdr:row>
      <xdr:rowOff>0</xdr:rowOff>
    </xdr:from>
    <xdr:to>
      <xdr:col>7</xdr:col>
      <xdr:colOff>544800</xdr:colOff>
      <xdr:row>47</xdr:row>
      <xdr:rowOff>49500</xdr:rowOff>
    </xdr:to>
    <xdr:pic>
      <xdr:nvPicPr>
        <xdr:cNvPr id="16" name="Рисунок 15" descr="https://platform.vanhoecke.be/media/cache/resolve/full/46508632_BT_P_1_PB_BAU_SALL_AOF_V1.png">
          <a:extLst>
            <a:ext uri="{FF2B5EF4-FFF2-40B4-BE49-F238E27FC236}">
              <a16:creationId xmlns:a16="http://schemas.microsoft.com/office/drawing/2014/main" id="{00000000-0008-0000-0A00-000010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0363200" y="1905000"/>
          <a:ext cx="1764000" cy="176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600076</xdr:colOff>
      <xdr:row>38</xdr:row>
      <xdr:rowOff>19051</xdr:rowOff>
    </xdr:from>
    <xdr:to>
      <xdr:col>11</xdr:col>
      <xdr:colOff>533400</xdr:colOff>
      <xdr:row>47</xdr:row>
      <xdr:rowOff>66675</xdr:rowOff>
    </xdr:to>
    <xdr:pic>
      <xdr:nvPicPr>
        <xdr:cNvPr id="17" name="Рисунок 16" descr="https://platform.vanhoecke.be/media/cache/resolve/teaser/46140768_BT_P_1_PB_BAU_SALL_AOF_V1.png">
          <a:extLst>
            <a:ext uri="{FF2B5EF4-FFF2-40B4-BE49-F238E27FC236}">
              <a16:creationId xmlns:a16="http://schemas.microsoft.com/office/drawing/2014/main" id="{00000000-0008-0000-0A00-000011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2792076" y="1924051"/>
          <a:ext cx="1762124" cy="1762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49</xdr:row>
      <xdr:rowOff>0</xdr:rowOff>
    </xdr:from>
    <xdr:to>
      <xdr:col>3</xdr:col>
      <xdr:colOff>544800</xdr:colOff>
      <xdr:row>58</xdr:row>
      <xdr:rowOff>49500</xdr:rowOff>
    </xdr:to>
    <xdr:pic>
      <xdr:nvPicPr>
        <xdr:cNvPr id="18" name="Рисунок 17" descr="https://platform.vanhoecke.be/media/cache/resolve/full/44326054_BT_P_1_PB_BAU_SALL_AOF_V1.png">
          <a:extLst>
            <a:ext uri="{FF2B5EF4-FFF2-40B4-BE49-F238E27FC236}">
              <a16:creationId xmlns:a16="http://schemas.microsoft.com/office/drawing/2014/main" id="{00000000-0008-0000-0A00-00001200000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609600" y="5715000"/>
          <a:ext cx="1764000" cy="176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49</xdr:row>
      <xdr:rowOff>0</xdr:rowOff>
    </xdr:from>
    <xdr:to>
      <xdr:col>7</xdr:col>
      <xdr:colOff>544800</xdr:colOff>
      <xdr:row>58</xdr:row>
      <xdr:rowOff>49500</xdr:rowOff>
    </xdr:to>
    <xdr:pic>
      <xdr:nvPicPr>
        <xdr:cNvPr id="19" name="Рисунок 18" descr="https://platform.vanhoecke.be/media/cache/resolve/full/43125465_BT_P_1_PB_BAU_SALL_AOF_V1.png">
          <a:extLst>
            <a:ext uri="{FF2B5EF4-FFF2-40B4-BE49-F238E27FC236}">
              <a16:creationId xmlns:a16="http://schemas.microsoft.com/office/drawing/2014/main" id="{00000000-0008-0000-0A00-000013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3048000" y="5715000"/>
          <a:ext cx="1764000" cy="176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49</xdr:row>
      <xdr:rowOff>0</xdr:rowOff>
    </xdr:from>
    <xdr:to>
      <xdr:col>11</xdr:col>
      <xdr:colOff>544800</xdr:colOff>
      <xdr:row>58</xdr:row>
      <xdr:rowOff>49500</xdr:rowOff>
    </xdr:to>
    <xdr:pic>
      <xdr:nvPicPr>
        <xdr:cNvPr id="20" name="Рисунок 19" descr="https://platform.vanhoecke.be/media/cache/resolve/full/48574255_BT_P_1_PB_BAU_SALL_AOF_V1.png">
          <a:extLst>
            <a:ext uri="{FF2B5EF4-FFF2-40B4-BE49-F238E27FC236}">
              <a16:creationId xmlns:a16="http://schemas.microsoft.com/office/drawing/2014/main" id="{00000000-0008-0000-0A00-000014000000}"/>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5486400" y="5715000"/>
          <a:ext cx="1764000" cy="176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542926</xdr:colOff>
      <xdr:row>14</xdr:row>
      <xdr:rowOff>57151</xdr:rowOff>
    </xdr:from>
    <xdr:to>
      <xdr:col>3</xdr:col>
      <xdr:colOff>478126</xdr:colOff>
      <xdr:row>23</xdr:row>
      <xdr:rowOff>106651</xdr:rowOff>
    </xdr:to>
    <xdr:pic>
      <xdr:nvPicPr>
        <xdr:cNvPr id="21" name="Рисунок 20" descr="Картинки по запросу &quot;71T950A&quot;">
          <a:extLst>
            <a:ext uri="{FF2B5EF4-FFF2-40B4-BE49-F238E27FC236}">
              <a16:creationId xmlns:a16="http://schemas.microsoft.com/office/drawing/2014/main" id="{00000000-0008-0000-0A00-000015000000}"/>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542926" y="1962151"/>
          <a:ext cx="1764000" cy="176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552450</xdr:colOff>
      <xdr:row>14</xdr:row>
      <xdr:rowOff>95250</xdr:rowOff>
    </xdr:from>
    <xdr:to>
      <xdr:col>7</xdr:col>
      <xdr:colOff>487650</xdr:colOff>
      <xdr:row>23</xdr:row>
      <xdr:rowOff>144750</xdr:rowOff>
    </xdr:to>
    <xdr:pic>
      <xdr:nvPicPr>
        <xdr:cNvPr id="22" name="Рисунок 21" descr="https://platform.vanhoecke.be/media/cache/resolve/full/49213919_BT_P_1_PB_BAU_SALL_AOF_V1.png">
          <a:extLst>
            <a:ext uri="{FF2B5EF4-FFF2-40B4-BE49-F238E27FC236}">
              <a16:creationId xmlns:a16="http://schemas.microsoft.com/office/drawing/2014/main" id="{00000000-0008-0000-0A00-00001600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2990850" y="2000250"/>
          <a:ext cx="1764000" cy="176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xdr:row>
      <xdr:rowOff>57150</xdr:rowOff>
    </xdr:from>
    <xdr:to>
      <xdr:col>11</xdr:col>
      <xdr:colOff>542924</xdr:colOff>
      <xdr:row>23</xdr:row>
      <xdr:rowOff>104774</xdr:rowOff>
    </xdr:to>
    <xdr:pic>
      <xdr:nvPicPr>
        <xdr:cNvPr id="23" name="Рисунок 22" descr="https://platform.vanhoecke.be/media/cache/resolve/teaser/46140768_BT_P_1_PB_BAU_SALL_AOF_V1.png">
          <a:extLst>
            <a:ext uri="{FF2B5EF4-FFF2-40B4-BE49-F238E27FC236}">
              <a16:creationId xmlns:a16="http://schemas.microsoft.com/office/drawing/2014/main" id="{00000000-0008-0000-0A00-000017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5486400" y="1962150"/>
          <a:ext cx="1762124" cy="1762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600075</xdr:colOff>
      <xdr:row>14</xdr:row>
      <xdr:rowOff>57150</xdr:rowOff>
    </xdr:from>
    <xdr:to>
      <xdr:col>15</xdr:col>
      <xdr:colOff>554326</xdr:colOff>
      <xdr:row>23</xdr:row>
      <xdr:rowOff>106650</xdr:rowOff>
    </xdr:to>
    <xdr:pic>
      <xdr:nvPicPr>
        <xdr:cNvPr id="24" name="Рисунок 23" descr="https://platform.vanhoecke.be/media/cache/resolve/full/48574255_BT_P_1_PB_BAU_SALL_AOF_V1.png">
          <a:extLst>
            <a:ext uri="{FF2B5EF4-FFF2-40B4-BE49-F238E27FC236}">
              <a16:creationId xmlns:a16="http://schemas.microsoft.com/office/drawing/2014/main" id="{00000000-0008-0000-0A00-000018000000}"/>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7915275" y="1962150"/>
          <a:ext cx="1764000" cy="176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54428</xdr:colOff>
      <xdr:row>0</xdr:row>
      <xdr:rowOff>0</xdr:rowOff>
    </xdr:from>
    <xdr:to>
      <xdr:col>16</xdr:col>
      <xdr:colOff>176892</xdr:colOff>
      <xdr:row>11</xdr:row>
      <xdr:rowOff>88901</xdr:rowOff>
    </xdr:to>
    <xdr:pic>
      <xdr:nvPicPr>
        <xdr:cNvPr id="27" name="Рисунок 26" descr="C:\Users\менеджер\Downloads\mzf-no-bg-preview (carve.photos).png">
          <a:extLst>
            <a:ext uri="{FF2B5EF4-FFF2-40B4-BE49-F238E27FC236}">
              <a16:creationId xmlns:a16="http://schemas.microsoft.com/office/drawing/2014/main" id="{00000000-0008-0000-0A00-00001B000000}"/>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8790214" y="0"/>
          <a:ext cx="2163535" cy="21844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625929</xdr:colOff>
      <xdr:row>2</xdr:row>
      <xdr:rowOff>50559</xdr:rowOff>
    </xdr:from>
    <xdr:to>
      <xdr:col>21</xdr:col>
      <xdr:colOff>54429</xdr:colOff>
      <xdr:row>15</xdr:row>
      <xdr:rowOff>48758</xdr:rowOff>
    </xdr:to>
    <xdr:pic>
      <xdr:nvPicPr>
        <xdr:cNvPr id="29" name="Рисунок 28" descr="C:\Users\менеджер\Downloads\hettichpetlya-nikel-edited-free (carve.photos).png">
          <a:extLst>
            <a:ext uri="{FF2B5EF4-FFF2-40B4-BE49-F238E27FC236}">
              <a16:creationId xmlns:a16="http://schemas.microsoft.com/office/drawing/2014/main" id="{00000000-0008-0000-0A00-00001D000000}"/>
            </a:ext>
          </a:extLst>
        </xdr:cNvPr>
        <xdr:cNvPicPr>
          <a:picLocks noChangeAspect="1" noChangeArrowheads="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t="31378"/>
        <a:stretch/>
      </xdr:blipFill>
      <xdr:spPr bwMode="auto">
        <a:xfrm>
          <a:off x="10591050" y="431559"/>
          <a:ext cx="3626069" cy="24878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401654</xdr:colOff>
      <xdr:row>3</xdr:row>
      <xdr:rowOff>40822</xdr:rowOff>
    </xdr:from>
    <xdr:to>
      <xdr:col>24</xdr:col>
      <xdr:colOff>457198</xdr:colOff>
      <xdr:row>13</xdr:row>
      <xdr:rowOff>176893</xdr:rowOff>
    </xdr:to>
    <xdr:pic>
      <xdr:nvPicPr>
        <xdr:cNvPr id="30" name="Рисунок 29" descr="C:\Users\менеджер\Downloads\400Wx400H-300201-8631-vorl-32-SW-shop-no-bg-preview (carve.photos).png">
          <a:extLst>
            <a:ext uri="{FF2B5EF4-FFF2-40B4-BE49-F238E27FC236}">
              <a16:creationId xmlns:a16="http://schemas.microsoft.com/office/drawing/2014/main" id="{00000000-0008-0000-0A00-00001E000000}"/>
            </a:ext>
          </a:extLst>
        </xdr:cNvPr>
        <xdr:cNvPicPr>
          <a:picLocks noChangeAspect="1" noChangeArrowheads="1"/>
        </xdr:cNvPicPr>
      </xdr:nvPicPr>
      <xdr:blipFill rotWithShape="1">
        <a:blip xmlns:r="http://schemas.openxmlformats.org/officeDocument/2006/relationships" r:embed="rId21">
          <a:extLst>
            <a:ext uri="{28A0092B-C50C-407E-A947-70E740481C1C}">
              <a14:useLocalDpi xmlns:a14="http://schemas.microsoft.com/office/drawing/2010/main" val="0"/>
            </a:ext>
          </a:extLst>
        </a:blip>
        <a:srcRect t="31361"/>
        <a:stretch/>
      </xdr:blipFill>
      <xdr:spPr bwMode="auto">
        <a:xfrm>
          <a:off x="13314833" y="612322"/>
          <a:ext cx="2981079" cy="20682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336176</xdr:colOff>
      <xdr:row>17</xdr:row>
      <xdr:rowOff>11205</xdr:rowOff>
    </xdr:from>
    <xdr:to>
      <xdr:col>31</xdr:col>
      <xdr:colOff>437998</xdr:colOff>
      <xdr:row>22</xdr:row>
      <xdr:rowOff>168088</xdr:rowOff>
    </xdr:to>
    <xdr:pic>
      <xdr:nvPicPr>
        <xdr:cNvPr id="35" name="Рисунок 34" descr="C:\Users\менеджер\Downloads\mf501-no-bg-preview (carve.photos).png">
          <a:extLst>
            <a:ext uri="{FF2B5EF4-FFF2-40B4-BE49-F238E27FC236}">
              <a16:creationId xmlns:a16="http://schemas.microsoft.com/office/drawing/2014/main" id="{00000000-0008-0000-0A00-000023000000}"/>
            </a:ext>
          </a:extLst>
        </xdr:cNvPr>
        <xdr:cNvPicPr>
          <a:picLocks noChangeAspect="1" noChangeArrowheads="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l="11603" t="26892" r="12333" b="28073"/>
        <a:stretch/>
      </xdr:blipFill>
      <xdr:spPr bwMode="auto">
        <a:xfrm>
          <a:off x="13951323" y="3272117"/>
          <a:ext cx="1883557" cy="11093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56030</xdr:colOff>
      <xdr:row>16</xdr:row>
      <xdr:rowOff>133240</xdr:rowOff>
    </xdr:from>
    <xdr:to>
      <xdr:col>35</xdr:col>
      <xdr:colOff>526677</xdr:colOff>
      <xdr:row>23</xdr:row>
      <xdr:rowOff>145675</xdr:rowOff>
    </xdr:to>
    <xdr:pic>
      <xdr:nvPicPr>
        <xdr:cNvPr id="36" name="Рисунок 35" descr="C:\Users\менеджер\Downloads\72907aa30fb5020e4afb307a9a862a14-1-edited-free (carve.photos).png">
          <a:extLst>
            <a:ext uri="{FF2B5EF4-FFF2-40B4-BE49-F238E27FC236}">
              <a16:creationId xmlns:a16="http://schemas.microsoft.com/office/drawing/2014/main" id="{00000000-0008-0000-0A00-000024000000}"/>
            </a:ext>
          </a:extLst>
        </xdr:cNvPr>
        <xdr:cNvPicPr>
          <a:picLocks noChangeAspect="1" noChangeArrowheads="1"/>
        </xdr:cNvPicPr>
      </xdr:nvPicPr>
      <xdr:blipFill rotWithShape="1">
        <a:blip xmlns:r="http://schemas.openxmlformats.org/officeDocument/2006/relationships" r:embed="rId23">
          <a:extLst>
            <a:ext uri="{28A0092B-C50C-407E-A947-70E740481C1C}">
              <a14:useLocalDpi xmlns:a14="http://schemas.microsoft.com/office/drawing/2010/main" val="0"/>
            </a:ext>
          </a:extLst>
        </a:blip>
        <a:srcRect l="11654" t="26883" r="13391" b="28080"/>
        <a:stretch/>
      </xdr:blipFill>
      <xdr:spPr bwMode="auto">
        <a:xfrm>
          <a:off x="16046824" y="3203652"/>
          <a:ext cx="2252382" cy="13459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440121</xdr:colOff>
      <xdr:row>15</xdr:row>
      <xdr:rowOff>59121</xdr:rowOff>
    </xdr:from>
    <xdr:to>
      <xdr:col>23</xdr:col>
      <xdr:colOff>557891</xdr:colOff>
      <xdr:row>24</xdr:row>
      <xdr:rowOff>106051</xdr:rowOff>
    </xdr:to>
    <xdr:pic>
      <xdr:nvPicPr>
        <xdr:cNvPr id="43" name="Рисунок 42" descr="C:\Users\менеджер\Downloads\mf20-1-no-bg-preview (carve.photos).png">
          <a:extLst>
            <a:ext uri="{FF2B5EF4-FFF2-40B4-BE49-F238E27FC236}">
              <a16:creationId xmlns:a16="http://schemas.microsoft.com/office/drawing/2014/main" id="{00000000-0008-0000-0A00-00002B000000}"/>
            </a:ext>
          </a:extLst>
        </xdr:cNvPr>
        <xdr:cNvPicPr>
          <a:picLocks noChangeAspect="1" noChangeArrowheads="1"/>
        </xdr:cNvPicPr>
      </xdr:nvPicPr>
      <xdr:blipFill rotWithShape="1">
        <a:blip xmlns:r="http://schemas.openxmlformats.org/officeDocument/2006/relationships" r:embed="rId24" cstate="print">
          <a:extLst>
            <a:ext uri="{28A0092B-C50C-407E-A947-70E740481C1C}">
              <a14:useLocalDpi xmlns:a14="http://schemas.microsoft.com/office/drawing/2010/main" val="0"/>
            </a:ext>
          </a:extLst>
        </a:blip>
        <a:srcRect l="23298" t="27797" r="26497" b="25425"/>
        <a:stretch/>
      </xdr:blipFill>
      <xdr:spPr bwMode="auto">
        <a:xfrm>
          <a:off x="14011604" y="2929759"/>
          <a:ext cx="1891390" cy="176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297006</xdr:colOff>
      <xdr:row>15</xdr:row>
      <xdr:rowOff>20782</xdr:rowOff>
    </xdr:from>
    <xdr:to>
      <xdr:col>27</xdr:col>
      <xdr:colOff>342900</xdr:colOff>
      <xdr:row>24</xdr:row>
      <xdr:rowOff>78490</xdr:rowOff>
    </xdr:to>
    <xdr:pic>
      <xdr:nvPicPr>
        <xdr:cNvPr id="44" name="Рисунок 43" descr="C:\Users\менеджер\Downloads\45c0e45e7e7b29e1809193087c38cf5d-edited-free (carve.photos).png">
          <a:extLst>
            <a:ext uri="{FF2B5EF4-FFF2-40B4-BE49-F238E27FC236}">
              <a16:creationId xmlns:a16="http://schemas.microsoft.com/office/drawing/2014/main" id="{00000000-0008-0000-0A00-00002C000000}"/>
            </a:ext>
          </a:extLst>
        </xdr:cNvPr>
        <xdr:cNvPicPr>
          <a:picLocks noChangeAspect="1" noChangeArrowheads="1"/>
        </xdr:cNvPicPr>
      </xdr:nvPicPr>
      <xdr:blipFill rotWithShape="1">
        <a:blip xmlns:r="http://schemas.openxmlformats.org/officeDocument/2006/relationships" r:embed="rId25">
          <a:extLst>
            <a:ext uri="{28A0092B-C50C-407E-A947-70E740481C1C}">
              <a14:useLocalDpi xmlns:a14="http://schemas.microsoft.com/office/drawing/2010/main" val="0"/>
            </a:ext>
          </a:extLst>
        </a:blip>
        <a:srcRect l="16317" t="24992" r="28456" b="21274"/>
        <a:stretch/>
      </xdr:blipFill>
      <xdr:spPr bwMode="auto">
        <a:xfrm>
          <a:off x="16232331" y="2897332"/>
          <a:ext cx="1817544" cy="17722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191253</xdr:colOff>
      <xdr:row>28</xdr:row>
      <xdr:rowOff>81321</xdr:rowOff>
    </xdr:from>
    <xdr:to>
      <xdr:col>27</xdr:col>
      <xdr:colOff>414130</xdr:colOff>
      <xdr:row>35</xdr:row>
      <xdr:rowOff>54897</xdr:rowOff>
    </xdr:to>
    <xdr:pic>
      <xdr:nvPicPr>
        <xdr:cNvPr id="45" name="Рисунок 44" descr="C:\Users\менеджер\Downloads\salice-air-nikel-Photoroom.png">
          <a:extLst>
            <a:ext uri="{FF2B5EF4-FFF2-40B4-BE49-F238E27FC236}">
              <a16:creationId xmlns:a16="http://schemas.microsoft.com/office/drawing/2014/main" id="{00000000-0008-0000-0A00-00002D000000}"/>
            </a:ext>
          </a:extLst>
        </xdr:cNvPr>
        <xdr:cNvPicPr>
          <a:picLocks noChangeAspect="1" noChangeArrowheads="1"/>
        </xdr:cNvPicPr>
      </xdr:nvPicPr>
      <xdr:blipFill rotWithShape="1">
        <a:blip xmlns:r="http://schemas.openxmlformats.org/officeDocument/2006/relationships" r:embed="rId26" cstate="print">
          <a:extLst>
            <a:ext uri="{28A0092B-C50C-407E-A947-70E740481C1C}">
              <a14:useLocalDpi xmlns:a14="http://schemas.microsoft.com/office/drawing/2010/main" val="0"/>
            </a:ext>
          </a:extLst>
        </a:blip>
        <a:srcRect l="9419" t="29518" r="11526" b="18518"/>
        <a:stretch/>
      </xdr:blipFill>
      <xdr:spPr bwMode="auto">
        <a:xfrm>
          <a:off x="16085579" y="5448451"/>
          <a:ext cx="1987073" cy="1307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140805</xdr:colOff>
      <xdr:row>28</xdr:row>
      <xdr:rowOff>141948</xdr:rowOff>
    </xdr:from>
    <xdr:to>
      <xdr:col>23</xdr:col>
      <xdr:colOff>505240</xdr:colOff>
      <xdr:row>36</xdr:row>
      <xdr:rowOff>12568</xdr:rowOff>
    </xdr:to>
    <xdr:pic>
      <xdr:nvPicPr>
        <xdr:cNvPr id="46" name="Рисунок 45" descr="C:\Users\менеджер\Downloads\aa0b58bbb7e6fd61f0ceaf848aff933d-Photoroom.png">
          <a:extLst>
            <a:ext uri="{FF2B5EF4-FFF2-40B4-BE49-F238E27FC236}">
              <a16:creationId xmlns:a16="http://schemas.microsoft.com/office/drawing/2014/main" id="{00000000-0008-0000-0A00-00002E000000}"/>
            </a:ext>
          </a:extLst>
        </xdr:cNvPr>
        <xdr:cNvPicPr>
          <a:picLocks noChangeAspect="1" noChangeArrowheads="1"/>
        </xdr:cNvPicPr>
      </xdr:nvPicPr>
      <xdr:blipFill rotWithShape="1">
        <a:blip xmlns:r="http://schemas.openxmlformats.org/officeDocument/2006/relationships" r:embed="rId27">
          <a:extLst>
            <a:ext uri="{28A0092B-C50C-407E-A947-70E740481C1C}">
              <a14:useLocalDpi xmlns:a14="http://schemas.microsoft.com/office/drawing/2010/main" val="0"/>
            </a:ext>
          </a:extLst>
        </a:blip>
        <a:srcRect l="9209" t="29559" r="11664" b="18797"/>
        <a:stretch/>
      </xdr:blipFill>
      <xdr:spPr bwMode="auto">
        <a:xfrm>
          <a:off x="13682870" y="5509078"/>
          <a:ext cx="2128631" cy="1394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5</xdr:row>
      <xdr:rowOff>9525</xdr:rowOff>
    </xdr:from>
    <xdr:to>
      <xdr:col>5</xdr:col>
      <xdr:colOff>604921</xdr:colOff>
      <xdr:row>24</xdr:row>
      <xdr:rowOff>165653</xdr:rowOff>
    </xdr:to>
    <xdr:pic>
      <xdr:nvPicPr>
        <xdr:cNvPr id="3" name="Рисунок 2" descr="https://modusline.com/site/files/1/foto-2new.jpg">
          <a:extLst>
            <a:ext uri="{FF2B5EF4-FFF2-40B4-BE49-F238E27FC236}">
              <a16:creationId xmlns:a16="http://schemas.microsoft.com/office/drawing/2014/main" id="{00000000-0008-0000-0B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996" t="24815" r="9815" b="25690"/>
        <a:stretch/>
      </xdr:blipFill>
      <xdr:spPr bwMode="auto">
        <a:xfrm>
          <a:off x="0" y="1077982"/>
          <a:ext cx="3669486" cy="37756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91108</xdr:colOff>
      <xdr:row>5</xdr:row>
      <xdr:rowOff>24035</xdr:rowOff>
    </xdr:from>
    <xdr:to>
      <xdr:col>11</xdr:col>
      <xdr:colOff>538371</xdr:colOff>
      <xdr:row>24</xdr:row>
      <xdr:rowOff>191093</xdr:rowOff>
    </xdr:to>
    <xdr:pic>
      <xdr:nvPicPr>
        <xdr:cNvPr id="4" name="Рисунок 3" descr="https://modusline.com/site/files/1/foto-6new.jpg">
          <a:extLst>
            <a:ext uri="{FF2B5EF4-FFF2-40B4-BE49-F238E27FC236}">
              <a16:creationId xmlns:a16="http://schemas.microsoft.com/office/drawing/2014/main" id="{00000000-0008-0000-0B00-000004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2076" t="25920" r="9538" b="24640"/>
        <a:stretch/>
      </xdr:blipFill>
      <xdr:spPr bwMode="auto">
        <a:xfrm>
          <a:off x="3768586" y="1092492"/>
          <a:ext cx="3511828" cy="37865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124385</xdr:colOff>
      <xdr:row>5</xdr:row>
      <xdr:rowOff>33618</xdr:rowOff>
    </xdr:from>
    <xdr:to>
      <xdr:col>17</xdr:col>
      <xdr:colOff>545338</xdr:colOff>
      <xdr:row>24</xdr:row>
      <xdr:rowOff>182130</xdr:rowOff>
    </xdr:to>
    <xdr:pic>
      <xdr:nvPicPr>
        <xdr:cNvPr id="5" name="Рисунок 4" descr="https://modusline.com/site/files/1/foto-5new.jpg">
          <a:extLst>
            <a:ext uri="{FF2B5EF4-FFF2-40B4-BE49-F238E27FC236}">
              <a16:creationId xmlns:a16="http://schemas.microsoft.com/office/drawing/2014/main" id="{00000000-0008-0000-0B00-000005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7660" t="23128" r="11589" b="25891"/>
        <a:stretch/>
      </xdr:blipFill>
      <xdr:spPr bwMode="auto">
        <a:xfrm>
          <a:off x="7385797" y="1098177"/>
          <a:ext cx="3446541" cy="3768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78921</xdr:colOff>
      <xdr:row>5</xdr:row>
      <xdr:rowOff>16330</xdr:rowOff>
    </xdr:from>
    <xdr:to>
      <xdr:col>23</xdr:col>
      <xdr:colOff>530088</xdr:colOff>
      <xdr:row>24</xdr:row>
      <xdr:rowOff>184565</xdr:rowOff>
    </xdr:to>
    <xdr:pic>
      <xdr:nvPicPr>
        <xdr:cNvPr id="6" name="Рисунок 5" descr="https://modusline.com/site/files/1/foto-7new.jpg">
          <a:extLst>
            <a:ext uri="{FF2B5EF4-FFF2-40B4-BE49-F238E27FC236}">
              <a16:creationId xmlns:a16="http://schemas.microsoft.com/office/drawing/2014/main" id="{00000000-0008-0000-0B00-000006000000}"/>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2539" t="24788" r="8835" b="25864"/>
        <a:stretch/>
      </xdr:blipFill>
      <xdr:spPr bwMode="auto">
        <a:xfrm>
          <a:off x="11111356" y="1084787"/>
          <a:ext cx="3515732" cy="3787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70328</xdr:colOff>
      <xdr:row>5</xdr:row>
      <xdr:rowOff>19051</xdr:rowOff>
    </xdr:from>
    <xdr:to>
      <xdr:col>29</xdr:col>
      <xdr:colOff>441884</xdr:colOff>
      <xdr:row>24</xdr:row>
      <xdr:rowOff>190501</xdr:rowOff>
    </xdr:to>
    <xdr:pic>
      <xdr:nvPicPr>
        <xdr:cNvPr id="7" name="Рисунок 6" descr="https://modusline.com/site/files/1/foto-1new.jpg">
          <a:extLst>
            <a:ext uri="{FF2B5EF4-FFF2-40B4-BE49-F238E27FC236}">
              <a16:creationId xmlns:a16="http://schemas.microsoft.com/office/drawing/2014/main" id="{00000000-0008-0000-0B00-000007000000}"/>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23035" t="25621" r="10978" b="25701"/>
        <a:stretch/>
      </xdr:blipFill>
      <xdr:spPr bwMode="auto">
        <a:xfrm>
          <a:off x="14700728" y="1085851"/>
          <a:ext cx="3419556" cy="3790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29134</xdr:colOff>
      <xdr:row>5</xdr:row>
      <xdr:rowOff>24653</xdr:rowOff>
    </xdr:from>
    <xdr:to>
      <xdr:col>35</xdr:col>
      <xdr:colOff>392206</xdr:colOff>
      <xdr:row>24</xdr:row>
      <xdr:rowOff>194099</xdr:rowOff>
    </xdr:to>
    <xdr:pic>
      <xdr:nvPicPr>
        <xdr:cNvPr id="8" name="Рисунок 7" descr="https://modusline.com/site/files/1/foto-102.jpg">
          <a:extLst>
            <a:ext uri="{FF2B5EF4-FFF2-40B4-BE49-F238E27FC236}">
              <a16:creationId xmlns:a16="http://schemas.microsoft.com/office/drawing/2014/main" id="{00000000-0008-0000-0B00-000008000000}"/>
            </a:ext>
          </a:extLst>
        </xdr:cNvPr>
        <xdr:cNvPicPr>
          <a:picLocks noChangeAspect="1" noChangeArrowheads="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18597" t="30005" r="14116" b="20361"/>
        <a:stretch/>
      </xdr:blipFill>
      <xdr:spPr bwMode="auto">
        <a:xfrm>
          <a:off x="18398777" y="1317332"/>
          <a:ext cx="3424679" cy="37889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xdr:row>
      <xdr:rowOff>31173</xdr:rowOff>
    </xdr:from>
    <xdr:to>
      <xdr:col>5</xdr:col>
      <xdr:colOff>590550</xdr:colOff>
      <xdr:row>46</xdr:row>
      <xdr:rowOff>150405</xdr:rowOff>
    </xdr:to>
    <xdr:pic>
      <xdr:nvPicPr>
        <xdr:cNvPr id="9" name="Рисунок 8" descr="https://modusline.com/site/files/1/foto-182.jpg">
          <a:extLst>
            <a:ext uri="{FF2B5EF4-FFF2-40B4-BE49-F238E27FC236}">
              <a16:creationId xmlns:a16="http://schemas.microsoft.com/office/drawing/2014/main" id="{00000000-0008-0000-0B00-000009000000}"/>
            </a:ext>
          </a:extLst>
        </xdr:cNvPr>
        <xdr:cNvPicPr>
          <a:picLocks noChangeAspect="1"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l="17058" t="30096" r="15192" b="21178"/>
        <a:stretch/>
      </xdr:blipFill>
      <xdr:spPr bwMode="auto">
        <a:xfrm>
          <a:off x="0" y="5117523"/>
          <a:ext cx="3638550" cy="39292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37539</xdr:colOff>
      <xdr:row>26</xdr:row>
      <xdr:rowOff>33059</xdr:rowOff>
    </xdr:from>
    <xdr:to>
      <xdr:col>11</xdr:col>
      <xdr:colOff>583230</xdr:colOff>
      <xdr:row>46</xdr:row>
      <xdr:rowOff>123264</xdr:rowOff>
    </xdr:to>
    <xdr:pic>
      <xdr:nvPicPr>
        <xdr:cNvPr id="10" name="Рисунок 9" descr="https://modusline.com/site/files/1/foto-22-1.jpg">
          <a:extLst>
            <a:ext uri="{FF2B5EF4-FFF2-40B4-BE49-F238E27FC236}">
              <a16:creationId xmlns:a16="http://schemas.microsoft.com/office/drawing/2014/main" id="{00000000-0008-0000-0B00-00000A000000}"/>
            </a:ext>
          </a:extLst>
        </xdr:cNvPr>
        <xdr:cNvPicPr>
          <a:picLocks noChangeAspect="1"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17583" t="30005" r="14116" b="20812"/>
        <a:stretch/>
      </xdr:blipFill>
      <xdr:spPr bwMode="auto">
        <a:xfrm>
          <a:off x="3668245" y="5120530"/>
          <a:ext cx="3571279" cy="39002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26704</xdr:colOff>
      <xdr:row>26</xdr:row>
      <xdr:rowOff>102177</xdr:rowOff>
    </xdr:from>
    <xdr:to>
      <xdr:col>17</xdr:col>
      <xdr:colOff>563214</xdr:colOff>
      <xdr:row>46</xdr:row>
      <xdr:rowOff>95250</xdr:rowOff>
    </xdr:to>
    <xdr:pic>
      <xdr:nvPicPr>
        <xdr:cNvPr id="11" name="Рисунок 10" descr="https://modusline.com/site/files/1/foto-282.jpg">
          <a:extLst>
            <a:ext uri="{FF2B5EF4-FFF2-40B4-BE49-F238E27FC236}">
              <a16:creationId xmlns:a16="http://schemas.microsoft.com/office/drawing/2014/main" id="{00000000-0008-0000-0B00-00000B000000}"/>
            </a:ext>
          </a:extLst>
        </xdr:cNvPr>
        <xdr:cNvPicPr>
          <a:picLocks noChangeAspect="1" noChangeArrowheads="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l="15332" t="29579" r="15502" b="21274"/>
        <a:stretch/>
      </xdr:blipFill>
      <xdr:spPr bwMode="auto">
        <a:xfrm>
          <a:off x="7341904" y="5188527"/>
          <a:ext cx="3584510" cy="38030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25612</xdr:colOff>
      <xdr:row>26</xdr:row>
      <xdr:rowOff>21392</xdr:rowOff>
    </xdr:from>
    <xdr:to>
      <xdr:col>23</xdr:col>
      <xdr:colOff>571500</xdr:colOff>
      <xdr:row>46</xdr:row>
      <xdr:rowOff>88827</xdr:rowOff>
    </xdr:to>
    <xdr:pic>
      <xdr:nvPicPr>
        <xdr:cNvPr id="12" name="Рисунок 11" descr="https://modusline.com/site/files/1/foto-172.jpg">
          <a:extLst>
            <a:ext uri="{FF2B5EF4-FFF2-40B4-BE49-F238E27FC236}">
              <a16:creationId xmlns:a16="http://schemas.microsoft.com/office/drawing/2014/main" id="{00000000-0008-0000-0B00-00000C000000}"/>
            </a:ext>
          </a:extLst>
        </xdr:cNvPr>
        <xdr:cNvPicPr>
          <a:picLocks noChangeAspect="1" noChangeArrowheads="1"/>
        </xdr:cNvPicPr>
      </xdr:nvPicPr>
      <xdr:blipFill rotWithShape="1">
        <a:blip xmlns:r="http://schemas.openxmlformats.org/officeDocument/2006/relationships" r:embed="rId10">
          <a:extLst>
            <a:ext uri="{28A0092B-C50C-407E-A947-70E740481C1C}">
              <a14:useLocalDpi xmlns:a14="http://schemas.microsoft.com/office/drawing/2010/main" val="0"/>
            </a:ext>
          </a:extLst>
        </a:blip>
        <a:srcRect l="16227" t="29780" r="16081" b="21507"/>
        <a:stretch/>
      </xdr:blipFill>
      <xdr:spPr bwMode="auto">
        <a:xfrm>
          <a:off x="10917730" y="5108863"/>
          <a:ext cx="3571476" cy="38774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42022</xdr:colOff>
      <xdr:row>26</xdr:row>
      <xdr:rowOff>31742</xdr:rowOff>
    </xdr:from>
    <xdr:to>
      <xdr:col>29</xdr:col>
      <xdr:colOff>549088</xdr:colOff>
      <xdr:row>46</xdr:row>
      <xdr:rowOff>33061</xdr:rowOff>
    </xdr:to>
    <xdr:pic>
      <xdr:nvPicPr>
        <xdr:cNvPr id="13" name="Рисунок 12" descr="https://modusline.com/site/files/1/foto-112.jpg">
          <a:extLst>
            <a:ext uri="{FF2B5EF4-FFF2-40B4-BE49-F238E27FC236}">
              <a16:creationId xmlns:a16="http://schemas.microsoft.com/office/drawing/2014/main" id="{00000000-0008-0000-0B00-00000D000000}"/>
            </a:ext>
          </a:extLst>
        </xdr:cNvPr>
        <xdr:cNvPicPr>
          <a:picLocks noChangeAspect="1" noChangeArrowheads="1"/>
        </xdr:cNvPicPr>
      </xdr:nvPicPr>
      <xdr:blipFill rotWithShape="1">
        <a:blip xmlns:r="http://schemas.openxmlformats.org/officeDocument/2006/relationships" r:embed="rId11">
          <a:extLst>
            <a:ext uri="{28A0092B-C50C-407E-A947-70E740481C1C}">
              <a14:useLocalDpi xmlns:a14="http://schemas.microsoft.com/office/drawing/2010/main" val="0"/>
            </a:ext>
          </a:extLst>
        </a:blip>
        <a:srcRect l="16029" t="30175" r="15694" b="21178"/>
        <a:stretch/>
      </xdr:blipFill>
      <xdr:spPr bwMode="auto">
        <a:xfrm>
          <a:off x="14564846" y="5119213"/>
          <a:ext cx="3532654" cy="3811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68035</xdr:colOff>
      <xdr:row>26</xdr:row>
      <xdr:rowOff>40821</xdr:rowOff>
    </xdr:from>
    <xdr:to>
      <xdr:col>35</xdr:col>
      <xdr:colOff>563432</xdr:colOff>
      <xdr:row>46</xdr:row>
      <xdr:rowOff>163286</xdr:rowOff>
    </xdr:to>
    <xdr:pic>
      <xdr:nvPicPr>
        <xdr:cNvPr id="14" name="Рисунок 13" descr="https://modusline.com/site/files/1/foto-82.jpg">
          <a:extLst>
            <a:ext uri="{FF2B5EF4-FFF2-40B4-BE49-F238E27FC236}">
              <a16:creationId xmlns:a16="http://schemas.microsoft.com/office/drawing/2014/main" id="{00000000-0008-0000-0B00-00000E000000}"/>
            </a:ext>
          </a:extLst>
        </xdr:cNvPr>
        <xdr:cNvPicPr>
          <a:picLocks noChangeAspect="1" noChangeArrowheads="1"/>
        </xdr:cNvPicPr>
      </xdr:nvPicPr>
      <xdr:blipFill rotWithShape="1">
        <a:blip xmlns:r="http://schemas.openxmlformats.org/officeDocument/2006/relationships" r:embed="rId12">
          <a:extLst>
            <a:ext uri="{28A0092B-C50C-407E-A947-70E740481C1C}">
              <a14:useLocalDpi xmlns:a14="http://schemas.microsoft.com/office/drawing/2010/main" val="0"/>
            </a:ext>
          </a:extLst>
        </a:blip>
        <a:srcRect l="18959" t="29662" r="14126" b="20737"/>
        <a:stretch/>
      </xdr:blipFill>
      <xdr:spPr bwMode="auto">
        <a:xfrm>
          <a:off x="18437678" y="5143500"/>
          <a:ext cx="3557004" cy="39324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12606</xdr:colOff>
      <xdr:row>48</xdr:row>
      <xdr:rowOff>15408</xdr:rowOff>
    </xdr:from>
    <xdr:to>
      <xdr:col>5</xdr:col>
      <xdr:colOff>576860</xdr:colOff>
      <xdr:row>68</xdr:row>
      <xdr:rowOff>112059</xdr:rowOff>
    </xdr:to>
    <xdr:pic>
      <xdr:nvPicPr>
        <xdr:cNvPr id="15" name="Рисунок 14" descr="https://modusline.com/site/files/1/foto-122.jpg">
          <a:extLst>
            <a:ext uri="{FF2B5EF4-FFF2-40B4-BE49-F238E27FC236}">
              <a16:creationId xmlns:a16="http://schemas.microsoft.com/office/drawing/2014/main" id="{00000000-0008-0000-0B00-00000F000000}"/>
            </a:ext>
          </a:extLst>
        </xdr:cNvPr>
        <xdr:cNvPicPr>
          <a:picLocks noChangeAspect="1" noChangeArrowheads="1"/>
        </xdr:cNvPicPr>
      </xdr:nvPicPr>
      <xdr:blipFill rotWithShape="1">
        <a:blip xmlns:r="http://schemas.openxmlformats.org/officeDocument/2006/relationships" r:embed="rId13">
          <a:extLst>
            <a:ext uri="{28A0092B-C50C-407E-A947-70E740481C1C}">
              <a14:useLocalDpi xmlns:a14="http://schemas.microsoft.com/office/drawing/2010/main" val="0"/>
            </a:ext>
          </a:extLst>
        </a:blip>
        <a:srcRect l="14370" t="29193" r="16949" b="21294"/>
        <a:stretch/>
      </xdr:blipFill>
      <xdr:spPr bwMode="auto">
        <a:xfrm>
          <a:off x="12606" y="9697290"/>
          <a:ext cx="3589842" cy="39066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30309</xdr:colOff>
      <xdr:row>48</xdr:row>
      <xdr:rowOff>19484</xdr:rowOff>
    </xdr:from>
    <xdr:to>
      <xdr:col>11</xdr:col>
      <xdr:colOff>580656</xdr:colOff>
      <xdr:row>68</xdr:row>
      <xdr:rowOff>89647</xdr:rowOff>
    </xdr:to>
    <xdr:pic>
      <xdr:nvPicPr>
        <xdr:cNvPr id="16" name="Рисунок 15" descr="https://modusline.com/site/files/1/foto-92.jpg">
          <a:extLst>
            <a:ext uri="{FF2B5EF4-FFF2-40B4-BE49-F238E27FC236}">
              <a16:creationId xmlns:a16="http://schemas.microsoft.com/office/drawing/2014/main" id="{00000000-0008-0000-0B00-000010000000}"/>
            </a:ext>
          </a:extLst>
        </xdr:cNvPr>
        <xdr:cNvPicPr>
          <a:picLocks noChangeAspect="1" noChangeArrowheads="1"/>
        </xdr:cNvPicPr>
      </xdr:nvPicPr>
      <xdr:blipFill rotWithShape="1">
        <a:blip xmlns:r="http://schemas.openxmlformats.org/officeDocument/2006/relationships" r:embed="rId14">
          <a:extLst>
            <a:ext uri="{28A0092B-C50C-407E-A947-70E740481C1C}">
              <a14:useLocalDpi xmlns:a14="http://schemas.microsoft.com/office/drawing/2010/main" val="0"/>
            </a:ext>
          </a:extLst>
        </a:blip>
        <a:srcRect l="15717" t="28864" r="15758" b="21846"/>
        <a:stretch/>
      </xdr:blipFill>
      <xdr:spPr bwMode="auto">
        <a:xfrm>
          <a:off x="3661015" y="9701366"/>
          <a:ext cx="3575935" cy="38801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11205</xdr:colOff>
      <xdr:row>48</xdr:row>
      <xdr:rowOff>7130</xdr:rowOff>
    </xdr:from>
    <xdr:to>
      <xdr:col>17</xdr:col>
      <xdr:colOff>594815</xdr:colOff>
      <xdr:row>68</xdr:row>
      <xdr:rowOff>168089</xdr:rowOff>
    </xdr:to>
    <xdr:pic>
      <xdr:nvPicPr>
        <xdr:cNvPr id="17" name="Рисунок 16" descr="https://modusline.com/site/files/1/foto-232.jpg">
          <a:extLst>
            <a:ext uri="{FF2B5EF4-FFF2-40B4-BE49-F238E27FC236}">
              <a16:creationId xmlns:a16="http://schemas.microsoft.com/office/drawing/2014/main" id="{00000000-0008-0000-0B00-000011000000}"/>
            </a:ext>
          </a:extLst>
        </xdr:cNvPr>
        <xdr:cNvPicPr>
          <a:picLocks noChangeAspect="1" noChangeArrowheads="1"/>
        </xdr:cNvPicPr>
      </xdr:nvPicPr>
      <xdr:blipFill rotWithShape="1">
        <a:blip xmlns:r="http://schemas.openxmlformats.org/officeDocument/2006/relationships" r:embed="rId15">
          <a:extLst>
            <a:ext uri="{28A0092B-C50C-407E-A947-70E740481C1C}">
              <a14:useLocalDpi xmlns:a14="http://schemas.microsoft.com/office/drawing/2010/main" val="0"/>
            </a:ext>
          </a:extLst>
        </a:blip>
        <a:srcRect l="15431" t="28682" r="16625" b="21954"/>
        <a:stretch/>
      </xdr:blipFill>
      <xdr:spPr bwMode="auto">
        <a:xfrm>
          <a:off x="7272617" y="9689012"/>
          <a:ext cx="3609198" cy="39709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22412</xdr:colOff>
      <xdr:row>48</xdr:row>
      <xdr:rowOff>22411</xdr:rowOff>
    </xdr:from>
    <xdr:to>
      <xdr:col>23</xdr:col>
      <xdr:colOff>584802</xdr:colOff>
      <xdr:row>68</xdr:row>
      <xdr:rowOff>145676</xdr:rowOff>
    </xdr:to>
    <xdr:pic>
      <xdr:nvPicPr>
        <xdr:cNvPr id="18" name="Рисунок 17" descr="https://modusline.com/site/files/1/foto-12-1.jpg">
          <a:extLst>
            <a:ext uri="{FF2B5EF4-FFF2-40B4-BE49-F238E27FC236}">
              <a16:creationId xmlns:a16="http://schemas.microsoft.com/office/drawing/2014/main" id="{00000000-0008-0000-0B00-000012000000}"/>
            </a:ext>
          </a:extLst>
        </xdr:cNvPr>
        <xdr:cNvPicPr>
          <a:picLocks noChangeAspect="1" noChangeArrowheads="1"/>
        </xdr:cNvPicPr>
      </xdr:nvPicPr>
      <xdr:blipFill rotWithShape="1">
        <a:blip xmlns:r="http://schemas.openxmlformats.org/officeDocument/2006/relationships" r:embed="rId16">
          <a:extLst>
            <a:ext uri="{28A0092B-C50C-407E-A947-70E740481C1C}">
              <a14:useLocalDpi xmlns:a14="http://schemas.microsoft.com/office/drawing/2010/main" val="0"/>
            </a:ext>
          </a:extLst>
        </a:blip>
        <a:srcRect l="18767" t="30210" r="14287" b="21231"/>
        <a:stretch/>
      </xdr:blipFill>
      <xdr:spPr bwMode="auto">
        <a:xfrm>
          <a:off x="10914530" y="9704293"/>
          <a:ext cx="3587978" cy="39332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17008</xdr:colOff>
      <xdr:row>48</xdr:row>
      <xdr:rowOff>42864</xdr:rowOff>
    </xdr:from>
    <xdr:to>
      <xdr:col>29</xdr:col>
      <xdr:colOff>571501</xdr:colOff>
      <xdr:row>68</xdr:row>
      <xdr:rowOff>165260</xdr:rowOff>
    </xdr:to>
    <xdr:pic>
      <xdr:nvPicPr>
        <xdr:cNvPr id="19" name="Рисунок 18" descr="https://modusline.com/site/files/1/foto-62.jpg">
          <a:extLst>
            <a:ext uri="{FF2B5EF4-FFF2-40B4-BE49-F238E27FC236}">
              <a16:creationId xmlns:a16="http://schemas.microsoft.com/office/drawing/2014/main" id="{00000000-0008-0000-0B00-000013000000}"/>
            </a:ext>
          </a:extLst>
        </xdr:cNvPr>
        <xdr:cNvPicPr>
          <a:picLocks noChangeAspect="1" noChangeArrowheads="1"/>
        </xdr:cNvPicPr>
      </xdr:nvPicPr>
      <xdr:blipFill rotWithShape="1">
        <a:blip xmlns:r="http://schemas.openxmlformats.org/officeDocument/2006/relationships" r:embed="rId17">
          <a:extLst>
            <a:ext uri="{28A0092B-C50C-407E-A947-70E740481C1C}">
              <a14:useLocalDpi xmlns:a14="http://schemas.microsoft.com/office/drawing/2010/main" val="0"/>
            </a:ext>
          </a:extLst>
        </a:blip>
        <a:srcRect l="19120" t="30457" r="14116" b="20829"/>
        <a:stretch/>
      </xdr:blipFill>
      <xdr:spPr bwMode="auto">
        <a:xfrm>
          <a:off x="14876008" y="9686927"/>
          <a:ext cx="3650118" cy="39323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34737</xdr:colOff>
      <xdr:row>48</xdr:row>
      <xdr:rowOff>151841</xdr:rowOff>
    </xdr:from>
    <xdr:to>
      <xdr:col>35</xdr:col>
      <xdr:colOff>598232</xdr:colOff>
      <xdr:row>67</xdr:row>
      <xdr:rowOff>123265</xdr:rowOff>
    </xdr:to>
    <xdr:pic>
      <xdr:nvPicPr>
        <xdr:cNvPr id="20" name="Рисунок 19" descr="https://modusline.com/site/files/1/extra-foto-12.jpg">
          <a:extLst>
            <a:ext uri="{FF2B5EF4-FFF2-40B4-BE49-F238E27FC236}">
              <a16:creationId xmlns:a16="http://schemas.microsoft.com/office/drawing/2014/main" id="{00000000-0008-0000-0B00-000014000000}"/>
            </a:ext>
          </a:extLst>
        </xdr:cNvPr>
        <xdr:cNvPicPr>
          <a:picLocks noChangeAspect="1" noChangeArrowheads="1"/>
        </xdr:cNvPicPr>
      </xdr:nvPicPr>
      <xdr:blipFill rotWithShape="1">
        <a:blip xmlns:r="http://schemas.openxmlformats.org/officeDocument/2006/relationships" r:embed="rId18">
          <a:extLst>
            <a:ext uri="{28A0092B-C50C-407E-A947-70E740481C1C}">
              <a14:useLocalDpi xmlns:a14="http://schemas.microsoft.com/office/drawing/2010/main" val="0"/>
            </a:ext>
          </a:extLst>
        </a:blip>
        <a:srcRect l="20788" t="29978" r="8467" b="23043"/>
        <a:stretch/>
      </xdr:blipFill>
      <xdr:spPr bwMode="auto">
        <a:xfrm>
          <a:off x="18188266" y="9833723"/>
          <a:ext cx="3589084" cy="35909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70</xdr:row>
      <xdr:rowOff>34638</xdr:rowOff>
    </xdr:from>
    <xdr:to>
      <xdr:col>5</xdr:col>
      <xdr:colOff>571501</xdr:colOff>
      <xdr:row>90</xdr:row>
      <xdr:rowOff>61532</xdr:rowOff>
    </xdr:to>
    <xdr:pic>
      <xdr:nvPicPr>
        <xdr:cNvPr id="21" name="Рисунок 20" descr="https://modusline.com/site/files/1/foto-212.jpg">
          <a:extLst>
            <a:ext uri="{FF2B5EF4-FFF2-40B4-BE49-F238E27FC236}">
              <a16:creationId xmlns:a16="http://schemas.microsoft.com/office/drawing/2014/main" id="{00000000-0008-0000-0B00-000015000000}"/>
            </a:ext>
          </a:extLst>
        </xdr:cNvPr>
        <xdr:cNvPicPr>
          <a:picLocks noChangeAspect="1" noChangeArrowheads="1"/>
        </xdr:cNvPicPr>
      </xdr:nvPicPr>
      <xdr:blipFill rotWithShape="1">
        <a:blip xmlns:r="http://schemas.openxmlformats.org/officeDocument/2006/relationships" r:embed="rId19">
          <a:extLst>
            <a:ext uri="{28A0092B-C50C-407E-A947-70E740481C1C}">
              <a14:useLocalDpi xmlns:a14="http://schemas.microsoft.com/office/drawing/2010/main" val="0"/>
            </a:ext>
          </a:extLst>
        </a:blip>
        <a:srcRect l="16230" t="30422" r="15469" b="21352"/>
        <a:stretch/>
      </xdr:blipFill>
      <xdr:spPr bwMode="auto">
        <a:xfrm>
          <a:off x="1" y="14027729"/>
          <a:ext cx="3602182" cy="38368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17319</xdr:colOff>
      <xdr:row>70</xdr:row>
      <xdr:rowOff>51955</xdr:rowOff>
    </xdr:from>
    <xdr:to>
      <xdr:col>11</xdr:col>
      <xdr:colOff>544286</xdr:colOff>
      <xdr:row>90</xdr:row>
      <xdr:rowOff>184135</xdr:rowOff>
    </xdr:to>
    <xdr:pic>
      <xdr:nvPicPr>
        <xdr:cNvPr id="22" name="Рисунок 21" descr="https://modusline.com/site/files/1/foto-192.jpg">
          <a:extLst>
            <a:ext uri="{FF2B5EF4-FFF2-40B4-BE49-F238E27FC236}">
              <a16:creationId xmlns:a16="http://schemas.microsoft.com/office/drawing/2014/main" id="{00000000-0008-0000-0B00-000016000000}"/>
            </a:ext>
          </a:extLst>
        </xdr:cNvPr>
        <xdr:cNvPicPr>
          <a:picLocks noChangeAspect="1" noChangeArrowheads="1"/>
        </xdr:cNvPicPr>
      </xdr:nvPicPr>
      <xdr:blipFill rotWithShape="1">
        <a:blip xmlns:r="http://schemas.openxmlformats.org/officeDocument/2006/relationships" r:embed="rId20">
          <a:extLst>
            <a:ext uri="{28A0092B-C50C-407E-A947-70E740481C1C}">
              <a14:useLocalDpi xmlns:a14="http://schemas.microsoft.com/office/drawing/2010/main" val="0"/>
            </a:ext>
          </a:extLst>
        </a:blip>
        <a:srcRect l="17928" t="30202" r="15462" b="20860"/>
        <a:stretch/>
      </xdr:blipFill>
      <xdr:spPr bwMode="auto">
        <a:xfrm>
          <a:off x="3691248" y="14012884"/>
          <a:ext cx="3588574" cy="3942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27215</xdr:colOff>
      <xdr:row>70</xdr:row>
      <xdr:rowOff>30617</xdr:rowOff>
    </xdr:from>
    <xdr:to>
      <xdr:col>17</xdr:col>
      <xdr:colOff>585108</xdr:colOff>
      <xdr:row>90</xdr:row>
      <xdr:rowOff>148401</xdr:rowOff>
    </xdr:to>
    <xdr:pic>
      <xdr:nvPicPr>
        <xdr:cNvPr id="24" name="Рисунок 23" descr="https://modusline.com/site/files/1/foto-152.jpg">
          <a:extLst>
            <a:ext uri="{FF2B5EF4-FFF2-40B4-BE49-F238E27FC236}">
              <a16:creationId xmlns:a16="http://schemas.microsoft.com/office/drawing/2014/main" id="{00000000-0008-0000-0B00-000018000000}"/>
            </a:ext>
          </a:extLst>
        </xdr:cNvPr>
        <xdr:cNvPicPr>
          <a:picLocks noChangeAspect="1" noChangeArrowheads="1"/>
        </xdr:cNvPicPr>
      </xdr:nvPicPr>
      <xdr:blipFill rotWithShape="1">
        <a:blip xmlns:r="http://schemas.openxmlformats.org/officeDocument/2006/relationships" r:embed="rId21">
          <a:extLst>
            <a:ext uri="{28A0092B-C50C-407E-A947-70E740481C1C}">
              <a14:useLocalDpi xmlns:a14="http://schemas.microsoft.com/office/drawing/2010/main" val="0"/>
            </a:ext>
          </a:extLst>
        </a:blip>
        <a:srcRect l="18110" t="30422" r="14863" b="20845"/>
        <a:stretch/>
      </xdr:blipFill>
      <xdr:spPr bwMode="auto">
        <a:xfrm>
          <a:off x="7375072" y="13991546"/>
          <a:ext cx="3619500" cy="39277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26615</xdr:colOff>
      <xdr:row>70</xdr:row>
      <xdr:rowOff>47625</xdr:rowOff>
    </xdr:from>
    <xdr:to>
      <xdr:col>23</xdr:col>
      <xdr:colOff>537882</xdr:colOff>
      <xdr:row>90</xdr:row>
      <xdr:rowOff>187227</xdr:rowOff>
    </xdr:to>
    <xdr:pic>
      <xdr:nvPicPr>
        <xdr:cNvPr id="25" name="Рисунок 24" descr="https://modusline.com/site/files/1/foto-162.jpg">
          <a:extLst>
            <a:ext uri="{FF2B5EF4-FFF2-40B4-BE49-F238E27FC236}">
              <a16:creationId xmlns:a16="http://schemas.microsoft.com/office/drawing/2014/main" id="{00000000-0008-0000-0B00-000019000000}"/>
            </a:ext>
          </a:extLst>
        </xdr:cNvPr>
        <xdr:cNvPicPr>
          <a:picLocks noChangeAspect="1" noChangeArrowheads="1"/>
        </xdr:cNvPicPr>
      </xdr:nvPicPr>
      <xdr:blipFill rotWithShape="1">
        <a:blip xmlns:r="http://schemas.openxmlformats.org/officeDocument/2006/relationships" r:embed="rId22">
          <a:extLst>
            <a:ext uri="{28A0092B-C50C-407E-A947-70E740481C1C}">
              <a14:useLocalDpi xmlns:a14="http://schemas.microsoft.com/office/drawing/2010/main" val="0"/>
            </a:ext>
          </a:extLst>
        </a:blip>
        <a:srcRect l="19984" t="30141" r="13821" b="21126"/>
        <a:stretch/>
      </xdr:blipFill>
      <xdr:spPr bwMode="auto">
        <a:xfrm>
          <a:off x="10918733" y="14021360"/>
          <a:ext cx="3536855" cy="39496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23812</xdr:colOff>
      <xdr:row>70</xdr:row>
      <xdr:rowOff>25214</xdr:rowOff>
    </xdr:from>
    <xdr:to>
      <xdr:col>29</xdr:col>
      <xdr:colOff>591481</xdr:colOff>
      <xdr:row>90</xdr:row>
      <xdr:rowOff>123265</xdr:rowOff>
    </xdr:to>
    <xdr:pic>
      <xdr:nvPicPr>
        <xdr:cNvPr id="26" name="Рисунок 25" descr="https://modusline.com/site/files/1/foto-242.jpg">
          <a:extLst>
            <a:ext uri="{FF2B5EF4-FFF2-40B4-BE49-F238E27FC236}">
              <a16:creationId xmlns:a16="http://schemas.microsoft.com/office/drawing/2014/main" id="{00000000-0008-0000-0B00-00001A000000}"/>
            </a:ext>
          </a:extLst>
        </xdr:cNvPr>
        <xdr:cNvPicPr>
          <a:picLocks noChangeAspect="1" noChangeArrowheads="1"/>
        </xdr:cNvPicPr>
      </xdr:nvPicPr>
      <xdr:blipFill rotWithShape="1">
        <a:blip xmlns:r="http://schemas.openxmlformats.org/officeDocument/2006/relationships" r:embed="rId23">
          <a:extLst>
            <a:ext uri="{28A0092B-C50C-407E-A947-70E740481C1C}">
              <a14:useLocalDpi xmlns:a14="http://schemas.microsoft.com/office/drawing/2010/main" val="0"/>
            </a:ext>
          </a:extLst>
        </a:blip>
        <a:srcRect l="14212" t="28701" r="15159" b="20600"/>
        <a:stretch/>
      </xdr:blipFill>
      <xdr:spPr bwMode="auto">
        <a:xfrm>
          <a:off x="14546636" y="13998949"/>
          <a:ext cx="3593257" cy="39080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18210</xdr:colOff>
      <xdr:row>70</xdr:row>
      <xdr:rowOff>19409</xdr:rowOff>
    </xdr:from>
    <xdr:to>
      <xdr:col>35</xdr:col>
      <xdr:colOff>571501</xdr:colOff>
      <xdr:row>90</xdr:row>
      <xdr:rowOff>128590</xdr:rowOff>
    </xdr:to>
    <xdr:pic>
      <xdr:nvPicPr>
        <xdr:cNvPr id="27" name="Рисунок 26" descr="https://modusline.com/site/files/1/foto-132.jpg">
          <a:extLst>
            <a:ext uri="{FF2B5EF4-FFF2-40B4-BE49-F238E27FC236}">
              <a16:creationId xmlns:a16="http://schemas.microsoft.com/office/drawing/2014/main" id="{00000000-0008-0000-0B00-00001B000000}"/>
            </a:ext>
          </a:extLst>
        </xdr:cNvPr>
        <xdr:cNvPicPr>
          <a:picLocks noChangeAspect="1" noChangeArrowheads="1"/>
        </xdr:cNvPicPr>
      </xdr:nvPicPr>
      <xdr:blipFill rotWithShape="1">
        <a:blip xmlns:r="http://schemas.openxmlformats.org/officeDocument/2006/relationships" r:embed="rId24">
          <a:extLst>
            <a:ext uri="{28A0092B-C50C-407E-A947-70E740481C1C}">
              <a14:useLocalDpi xmlns:a14="http://schemas.microsoft.com/office/drawing/2010/main" val="0"/>
            </a:ext>
          </a:extLst>
        </a:blip>
        <a:srcRect l="16861" t="30423" r="16112" b="21126"/>
        <a:stretch/>
      </xdr:blipFill>
      <xdr:spPr bwMode="auto">
        <a:xfrm>
          <a:off x="18171739" y="13993144"/>
          <a:ext cx="3578880" cy="39191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92</xdr:row>
      <xdr:rowOff>28574</xdr:rowOff>
    </xdr:from>
    <xdr:to>
      <xdr:col>5</xdr:col>
      <xdr:colOff>576432</xdr:colOff>
      <xdr:row>112</xdr:row>
      <xdr:rowOff>114299</xdr:rowOff>
    </xdr:to>
    <xdr:pic>
      <xdr:nvPicPr>
        <xdr:cNvPr id="28" name="Рисунок 27" descr="https://modusline.com/site/files/1/foto-4-1.jpg">
          <a:extLst>
            <a:ext uri="{FF2B5EF4-FFF2-40B4-BE49-F238E27FC236}">
              <a16:creationId xmlns:a16="http://schemas.microsoft.com/office/drawing/2014/main" id="{00000000-0008-0000-0B00-00001C000000}"/>
            </a:ext>
          </a:extLst>
        </xdr:cNvPr>
        <xdr:cNvPicPr>
          <a:picLocks noChangeAspect="1" noChangeArrowheads="1"/>
        </xdr:cNvPicPr>
      </xdr:nvPicPr>
      <xdr:blipFill rotWithShape="1">
        <a:blip xmlns:r="http://schemas.openxmlformats.org/officeDocument/2006/relationships" r:embed="rId25" cstate="print">
          <a:extLst>
            <a:ext uri="{28A0092B-C50C-407E-A947-70E740481C1C}">
              <a14:useLocalDpi xmlns:a14="http://schemas.microsoft.com/office/drawing/2010/main" val="0"/>
            </a:ext>
          </a:extLst>
        </a:blip>
        <a:srcRect l="21107" t="25142" r="10450" b="25805"/>
        <a:stretch/>
      </xdr:blipFill>
      <xdr:spPr bwMode="auto">
        <a:xfrm>
          <a:off x="0" y="18268949"/>
          <a:ext cx="3624432" cy="389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27215</xdr:colOff>
      <xdr:row>92</xdr:row>
      <xdr:rowOff>27214</xdr:rowOff>
    </xdr:from>
    <xdr:to>
      <xdr:col>11</xdr:col>
      <xdr:colOff>585107</xdr:colOff>
      <xdr:row>112</xdr:row>
      <xdr:rowOff>184468</xdr:rowOff>
    </xdr:to>
    <xdr:pic>
      <xdr:nvPicPr>
        <xdr:cNvPr id="29" name="Рисунок 28" descr="https://modusline.com/site/files/1/foto-302.jpg">
          <a:extLst>
            <a:ext uri="{FF2B5EF4-FFF2-40B4-BE49-F238E27FC236}">
              <a16:creationId xmlns:a16="http://schemas.microsoft.com/office/drawing/2014/main" id="{00000000-0008-0000-0B00-00001D000000}"/>
            </a:ext>
          </a:extLst>
        </xdr:cNvPr>
        <xdr:cNvPicPr>
          <a:picLocks noChangeAspect="1" noChangeArrowheads="1"/>
        </xdr:cNvPicPr>
      </xdr:nvPicPr>
      <xdr:blipFill rotWithShape="1">
        <a:blip xmlns:r="http://schemas.openxmlformats.org/officeDocument/2006/relationships" r:embed="rId26">
          <a:extLst>
            <a:ext uri="{28A0092B-C50C-407E-A947-70E740481C1C}">
              <a14:useLocalDpi xmlns:a14="http://schemas.microsoft.com/office/drawing/2010/main" val="0"/>
            </a:ext>
          </a:extLst>
        </a:blip>
        <a:srcRect l="16095" t="29197" r="14377" b="19815"/>
        <a:stretch/>
      </xdr:blipFill>
      <xdr:spPr bwMode="auto">
        <a:xfrm>
          <a:off x="3701144" y="18274393"/>
          <a:ext cx="3619499" cy="39672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27215</xdr:colOff>
      <xdr:row>92</xdr:row>
      <xdr:rowOff>40822</xdr:rowOff>
    </xdr:from>
    <xdr:to>
      <xdr:col>17</xdr:col>
      <xdr:colOff>530679</xdr:colOff>
      <xdr:row>112</xdr:row>
      <xdr:rowOff>171845</xdr:rowOff>
    </xdr:to>
    <xdr:pic>
      <xdr:nvPicPr>
        <xdr:cNvPr id="30" name="Рисунок 29" descr="https://modusline.com/site/files/1/foto-252.jpg">
          <a:extLst>
            <a:ext uri="{FF2B5EF4-FFF2-40B4-BE49-F238E27FC236}">
              <a16:creationId xmlns:a16="http://schemas.microsoft.com/office/drawing/2014/main" id="{00000000-0008-0000-0B00-00001E000000}"/>
            </a:ext>
          </a:extLst>
        </xdr:cNvPr>
        <xdr:cNvPicPr>
          <a:picLocks noChangeAspect="1" noChangeArrowheads="1"/>
        </xdr:cNvPicPr>
      </xdr:nvPicPr>
      <xdr:blipFill rotWithShape="1">
        <a:blip xmlns:r="http://schemas.openxmlformats.org/officeDocument/2006/relationships" r:embed="rId27">
          <a:extLst>
            <a:ext uri="{28A0092B-C50C-407E-A947-70E740481C1C}">
              <a14:useLocalDpi xmlns:a14="http://schemas.microsoft.com/office/drawing/2010/main" val="0"/>
            </a:ext>
          </a:extLst>
        </a:blip>
        <a:srcRect l="19358" t="30182" r="14512" b="20884"/>
        <a:stretch/>
      </xdr:blipFill>
      <xdr:spPr bwMode="auto">
        <a:xfrm>
          <a:off x="7375072" y="18288001"/>
          <a:ext cx="3565071" cy="39410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13608</xdr:colOff>
      <xdr:row>92</xdr:row>
      <xdr:rowOff>13606</xdr:rowOff>
    </xdr:from>
    <xdr:to>
      <xdr:col>23</xdr:col>
      <xdr:colOff>590509</xdr:colOff>
      <xdr:row>112</xdr:row>
      <xdr:rowOff>68035</xdr:rowOff>
    </xdr:to>
    <xdr:pic>
      <xdr:nvPicPr>
        <xdr:cNvPr id="31" name="Рисунок 30" descr="https://modusline.com/site/files/1/foto-72.jpg">
          <a:extLst>
            <a:ext uri="{FF2B5EF4-FFF2-40B4-BE49-F238E27FC236}">
              <a16:creationId xmlns:a16="http://schemas.microsoft.com/office/drawing/2014/main" id="{00000000-0008-0000-0B00-00001F000000}"/>
            </a:ext>
          </a:extLst>
        </xdr:cNvPr>
        <xdr:cNvPicPr>
          <a:picLocks noChangeAspect="1" noChangeArrowheads="1"/>
        </xdr:cNvPicPr>
      </xdr:nvPicPr>
      <xdr:blipFill rotWithShape="1">
        <a:blip xmlns:r="http://schemas.openxmlformats.org/officeDocument/2006/relationships" r:embed="rId28">
          <a:extLst>
            <a:ext uri="{28A0092B-C50C-407E-A947-70E740481C1C}">
              <a14:useLocalDpi xmlns:a14="http://schemas.microsoft.com/office/drawing/2010/main" val="0"/>
            </a:ext>
          </a:extLst>
        </a:blip>
        <a:srcRect l="17873" t="30781" r="14151" b="20892"/>
        <a:stretch/>
      </xdr:blipFill>
      <xdr:spPr bwMode="auto">
        <a:xfrm>
          <a:off x="11035394" y="18260785"/>
          <a:ext cx="3638508" cy="386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25874</xdr:colOff>
      <xdr:row>92</xdr:row>
      <xdr:rowOff>27710</xdr:rowOff>
    </xdr:from>
    <xdr:to>
      <xdr:col>29</xdr:col>
      <xdr:colOff>591652</xdr:colOff>
      <xdr:row>112</xdr:row>
      <xdr:rowOff>145677</xdr:rowOff>
    </xdr:to>
    <xdr:pic>
      <xdr:nvPicPr>
        <xdr:cNvPr id="32" name="Рисунок 31" descr="https://modusline.com/site/files/1/foto-262.jpg">
          <a:extLst>
            <a:ext uri="{FF2B5EF4-FFF2-40B4-BE49-F238E27FC236}">
              <a16:creationId xmlns:a16="http://schemas.microsoft.com/office/drawing/2014/main" id="{00000000-0008-0000-0B00-000020000000}"/>
            </a:ext>
          </a:extLst>
        </xdr:cNvPr>
        <xdr:cNvPicPr>
          <a:picLocks noChangeAspect="1" noChangeArrowheads="1"/>
        </xdr:cNvPicPr>
      </xdr:nvPicPr>
      <xdr:blipFill rotWithShape="1">
        <a:blip xmlns:r="http://schemas.openxmlformats.org/officeDocument/2006/relationships" r:embed="rId29">
          <a:extLst>
            <a:ext uri="{28A0092B-C50C-407E-A947-70E740481C1C}">
              <a14:useLocalDpi xmlns:a14="http://schemas.microsoft.com/office/drawing/2010/main" val="0"/>
            </a:ext>
          </a:extLst>
        </a:blip>
        <a:srcRect l="18259" t="30457" r="15131" b="21264"/>
        <a:stretch/>
      </xdr:blipFill>
      <xdr:spPr bwMode="auto">
        <a:xfrm>
          <a:off x="14548698" y="18293298"/>
          <a:ext cx="3591366" cy="39279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49026</xdr:colOff>
      <xdr:row>92</xdr:row>
      <xdr:rowOff>163886</xdr:rowOff>
    </xdr:from>
    <xdr:to>
      <xdr:col>35</xdr:col>
      <xdr:colOff>585950</xdr:colOff>
      <xdr:row>112</xdr:row>
      <xdr:rowOff>22412</xdr:rowOff>
    </xdr:to>
    <xdr:pic>
      <xdr:nvPicPr>
        <xdr:cNvPr id="33" name="Рисунок 32" descr="https://modusline.com/site/files/1/extra-foto-42.jpg">
          <a:extLst>
            <a:ext uri="{FF2B5EF4-FFF2-40B4-BE49-F238E27FC236}">
              <a16:creationId xmlns:a16="http://schemas.microsoft.com/office/drawing/2014/main" id="{00000000-0008-0000-0B00-000021000000}"/>
            </a:ext>
          </a:extLst>
        </xdr:cNvPr>
        <xdr:cNvPicPr>
          <a:picLocks noChangeAspect="1" noChangeArrowheads="1"/>
        </xdr:cNvPicPr>
      </xdr:nvPicPr>
      <xdr:blipFill rotWithShape="1">
        <a:blip xmlns:r="http://schemas.openxmlformats.org/officeDocument/2006/relationships" r:embed="rId30">
          <a:extLst>
            <a:ext uri="{28A0092B-C50C-407E-A947-70E740481C1C}">
              <a14:useLocalDpi xmlns:a14="http://schemas.microsoft.com/office/drawing/2010/main" val="0"/>
            </a:ext>
          </a:extLst>
        </a:blip>
        <a:srcRect l="22089" t="29905" r="8547" b="22862"/>
        <a:stretch/>
      </xdr:blipFill>
      <xdr:spPr bwMode="auto">
        <a:xfrm>
          <a:off x="18202555" y="18429474"/>
          <a:ext cx="3562513" cy="36685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114</xdr:row>
      <xdr:rowOff>47623</xdr:rowOff>
    </xdr:from>
    <xdr:to>
      <xdr:col>5</xdr:col>
      <xdr:colOff>564404</xdr:colOff>
      <xdr:row>134</xdr:row>
      <xdr:rowOff>156882</xdr:rowOff>
    </xdr:to>
    <xdr:pic>
      <xdr:nvPicPr>
        <xdr:cNvPr id="34" name="Рисунок 33" descr="https://modusline.com/site/files/1/foto-222.jpg">
          <a:extLst>
            <a:ext uri="{FF2B5EF4-FFF2-40B4-BE49-F238E27FC236}">
              <a16:creationId xmlns:a16="http://schemas.microsoft.com/office/drawing/2014/main" id="{00000000-0008-0000-0B00-000022000000}"/>
            </a:ext>
          </a:extLst>
        </xdr:cNvPr>
        <xdr:cNvPicPr>
          <a:picLocks noChangeAspect="1" noChangeArrowheads="1"/>
        </xdr:cNvPicPr>
      </xdr:nvPicPr>
      <xdr:blipFill rotWithShape="1">
        <a:blip xmlns:r="http://schemas.openxmlformats.org/officeDocument/2006/relationships" r:embed="rId31">
          <a:extLst>
            <a:ext uri="{28A0092B-C50C-407E-A947-70E740481C1C}">
              <a14:useLocalDpi xmlns:a14="http://schemas.microsoft.com/office/drawing/2010/main" val="0"/>
            </a:ext>
          </a:extLst>
        </a:blip>
        <a:srcRect l="14718" t="27888" r="16736" b="22596"/>
        <a:stretch/>
      </xdr:blipFill>
      <xdr:spPr bwMode="auto">
        <a:xfrm>
          <a:off x="0" y="22605064"/>
          <a:ext cx="3589992" cy="39192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34637</xdr:colOff>
      <xdr:row>114</xdr:row>
      <xdr:rowOff>86592</xdr:rowOff>
    </xdr:from>
    <xdr:to>
      <xdr:col>11</xdr:col>
      <xdr:colOff>571500</xdr:colOff>
      <xdr:row>134</xdr:row>
      <xdr:rowOff>171524</xdr:rowOff>
    </xdr:to>
    <xdr:pic>
      <xdr:nvPicPr>
        <xdr:cNvPr id="35" name="Рисунок 34" descr="https://modusline.com/site/files/1/foto-142.jpg">
          <a:extLst>
            <a:ext uri="{FF2B5EF4-FFF2-40B4-BE49-F238E27FC236}">
              <a16:creationId xmlns:a16="http://schemas.microsoft.com/office/drawing/2014/main" id="{00000000-0008-0000-0B00-000023000000}"/>
            </a:ext>
          </a:extLst>
        </xdr:cNvPr>
        <xdr:cNvPicPr>
          <a:picLocks noChangeAspect="1" noChangeArrowheads="1"/>
        </xdr:cNvPicPr>
      </xdr:nvPicPr>
      <xdr:blipFill rotWithShape="1">
        <a:blip xmlns:r="http://schemas.openxmlformats.org/officeDocument/2006/relationships" r:embed="rId32">
          <a:extLst>
            <a:ext uri="{28A0092B-C50C-407E-A947-70E740481C1C}">
              <a14:useLocalDpi xmlns:a14="http://schemas.microsoft.com/office/drawing/2010/main" val="0"/>
            </a:ext>
          </a:extLst>
        </a:blip>
        <a:srcRect l="17464" t="30407" r="15308" b="20963"/>
        <a:stretch/>
      </xdr:blipFill>
      <xdr:spPr bwMode="auto">
        <a:xfrm>
          <a:off x="3708566" y="22620021"/>
          <a:ext cx="3598470" cy="38949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14286</xdr:colOff>
      <xdr:row>114</xdr:row>
      <xdr:rowOff>47626</xdr:rowOff>
    </xdr:from>
    <xdr:to>
      <xdr:col>17</xdr:col>
      <xdr:colOff>546685</xdr:colOff>
      <xdr:row>134</xdr:row>
      <xdr:rowOff>173182</xdr:rowOff>
    </xdr:to>
    <xdr:pic>
      <xdr:nvPicPr>
        <xdr:cNvPr id="36" name="Рисунок 35" descr="https://modusline.com/site/files/1/foto-42-2.jpg">
          <a:extLst>
            <a:ext uri="{FF2B5EF4-FFF2-40B4-BE49-F238E27FC236}">
              <a16:creationId xmlns:a16="http://schemas.microsoft.com/office/drawing/2014/main" id="{00000000-0008-0000-0B00-000024000000}"/>
            </a:ext>
          </a:extLst>
        </xdr:cNvPr>
        <xdr:cNvPicPr>
          <a:picLocks noChangeAspect="1" noChangeArrowheads="1"/>
        </xdr:cNvPicPr>
      </xdr:nvPicPr>
      <xdr:blipFill rotWithShape="1">
        <a:blip xmlns:r="http://schemas.openxmlformats.org/officeDocument/2006/relationships" r:embed="rId33">
          <a:extLst>
            <a:ext uri="{28A0092B-C50C-407E-A947-70E740481C1C}">
              <a14:useLocalDpi xmlns:a14="http://schemas.microsoft.com/office/drawing/2010/main" val="0"/>
            </a:ext>
          </a:extLst>
        </a:blip>
        <a:srcRect l="18259" t="29780" r="14116" b="20586"/>
        <a:stretch/>
      </xdr:blipFill>
      <xdr:spPr bwMode="auto">
        <a:xfrm>
          <a:off x="7287922" y="22630535"/>
          <a:ext cx="3563081" cy="3935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27707</xdr:colOff>
      <xdr:row>114</xdr:row>
      <xdr:rowOff>17319</xdr:rowOff>
    </xdr:from>
    <xdr:to>
      <xdr:col>23</xdr:col>
      <xdr:colOff>549513</xdr:colOff>
      <xdr:row>134</xdr:row>
      <xdr:rowOff>121227</xdr:rowOff>
    </xdr:to>
    <xdr:pic>
      <xdr:nvPicPr>
        <xdr:cNvPr id="37" name="Рисунок 36" descr="https://modusline.com/site/files/1/foto-272.jpg">
          <a:extLst>
            <a:ext uri="{FF2B5EF4-FFF2-40B4-BE49-F238E27FC236}">
              <a16:creationId xmlns:a16="http://schemas.microsoft.com/office/drawing/2014/main" id="{00000000-0008-0000-0B00-000025000000}"/>
            </a:ext>
          </a:extLst>
        </xdr:cNvPr>
        <xdr:cNvPicPr>
          <a:picLocks noChangeAspect="1" noChangeArrowheads="1"/>
        </xdr:cNvPicPr>
      </xdr:nvPicPr>
      <xdr:blipFill rotWithShape="1">
        <a:blip xmlns:r="http://schemas.openxmlformats.org/officeDocument/2006/relationships" r:embed="rId34">
          <a:extLst>
            <a:ext uri="{28A0092B-C50C-407E-A947-70E740481C1C}">
              <a14:useLocalDpi xmlns:a14="http://schemas.microsoft.com/office/drawing/2010/main" val="0"/>
            </a:ext>
          </a:extLst>
        </a:blip>
        <a:srcRect l="17920" t="30005" r="14793" b="20812"/>
        <a:stretch/>
      </xdr:blipFill>
      <xdr:spPr bwMode="auto">
        <a:xfrm>
          <a:off x="10938162" y="22600228"/>
          <a:ext cx="3552487" cy="39139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34636</xdr:colOff>
      <xdr:row>114</xdr:row>
      <xdr:rowOff>34638</xdr:rowOff>
    </xdr:from>
    <xdr:to>
      <xdr:col>29</xdr:col>
      <xdr:colOff>573491</xdr:colOff>
      <xdr:row>134</xdr:row>
      <xdr:rowOff>108857</xdr:rowOff>
    </xdr:to>
    <xdr:pic>
      <xdr:nvPicPr>
        <xdr:cNvPr id="38" name="Рисунок 37" descr="https://modusline.com/site/files/1/foto-32.jpg">
          <a:extLst>
            <a:ext uri="{FF2B5EF4-FFF2-40B4-BE49-F238E27FC236}">
              <a16:creationId xmlns:a16="http://schemas.microsoft.com/office/drawing/2014/main" id="{00000000-0008-0000-0B00-000026000000}"/>
            </a:ext>
          </a:extLst>
        </xdr:cNvPr>
        <xdr:cNvPicPr>
          <a:picLocks noChangeAspect="1" noChangeArrowheads="1"/>
        </xdr:cNvPicPr>
      </xdr:nvPicPr>
      <xdr:blipFill rotWithShape="1">
        <a:blip xmlns:r="http://schemas.openxmlformats.org/officeDocument/2006/relationships" r:embed="rId35">
          <a:extLst>
            <a:ext uri="{28A0092B-C50C-407E-A947-70E740481C1C}">
              <a14:useLocalDpi xmlns:a14="http://schemas.microsoft.com/office/drawing/2010/main" val="0"/>
            </a:ext>
          </a:extLst>
        </a:blip>
        <a:srcRect l="18546" t="30304" r="14381" b="21270"/>
        <a:stretch/>
      </xdr:blipFill>
      <xdr:spPr bwMode="auto">
        <a:xfrm>
          <a:off x="14730350" y="22568067"/>
          <a:ext cx="3600462" cy="3884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54427</xdr:colOff>
      <xdr:row>114</xdr:row>
      <xdr:rowOff>139474</xdr:rowOff>
    </xdr:from>
    <xdr:to>
      <xdr:col>35</xdr:col>
      <xdr:colOff>603703</xdr:colOff>
      <xdr:row>134</xdr:row>
      <xdr:rowOff>2755</xdr:rowOff>
    </xdr:to>
    <xdr:pic>
      <xdr:nvPicPr>
        <xdr:cNvPr id="39" name="Рисунок 38" descr="https://modusline.com/site/files/1/extra-foto-32.jpg">
          <a:extLst>
            <a:ext uri="{FF2B5EF4-FFF2-40B4-BE49-F238E27FC236}">
              <a16:creationId xmlns:a16="http://schemas.microsoft.com/office/drawing/2014/main" id="{00000000-0008-0000-0B00-000027000000}"/>
            </a:ext>
          </a:extLst>
        </xdr:cNvPr>
        <xdr:cNvPicPr>
          <a:picLocks noChangeAspect="1" noChangeArrowheads="1"/>
        </xdr:cNvPicPr>
      </xdr:nvPicPr>
      <xdr:blipFill rotWithShape="1">
        <a:blip xmlns:r="http://schemas.openxmlformats.org/officeDocument/2006/relationships" r:embed="rId36">
          <a:extLst>
            <a:ext uri="{28A0092B-C50C-407E-A947-70E740481C1C}">
              <a14:useLocalDpi xmlns:a14="http://schemas.microsoft.com/office/drawing/2010/main" val="0"/>
            </a:ext>
          </a:extLst>
        </a:blip>
        <a:srcRect l="20851" t="29093" r="7539" b="22133"/>
        <a:stretch/>
      </xdr:blipFill>
      <xdr:spPr bwMode="auto">
        <a:xfrm>
          <a:off x="18424070" y="22672903"/>
          <a:ext cx="3610883" cy="3673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136</xdr:row>
      <xdr:rowOff>48490</xdr:rowOff>
    </xdr:from>
    <xdr:to>
      <xdr:col>5</xdr:col>
      <xdr:colOff>571500</xdr:colOff>
      <xdr:row>156</xdr:row>
      <xdr:rowOff>119427</xdr:rowOff>
    </xdr:to>
    <xdr:pic>
      <xdr:nvPicPr>
        <xdr:cNvPr id="40" name="Рисунок 39" descr="https://modusline.com/site/files/1/foto-202.jpg">
          <a:extLst>
            <a:ext uri="{FF2B5EF4-FFF2-40B4-BE49-F238E27FC236}">
              <a16:creationId xmlns:a16="http://schemas.microsoft.com/office/drawing/2014/main" id="{00000000-0008-0000-0B00-000028000000}"/>
            </a:ext>
          </a:extLst>
        </xdr:cNvPr>
        <xdr:cNvPicPr>
          <a:picLocks noChangeAspect="1" noChangeArrowheads="1"/>
        </xdr:cNvPicPr>
      </xdr:nvPicPr>
      <xdr:blipFill rotWithShape="1">
        <a:blip xmlns:r="http://schemas.openxmlformats.org/officeDocument/2006/relationships" r:embed="rId37">
          <a:extLst>
            <a:ext uri="{28A0092B-C50C-407E-A947-70E740481C1C}">
              <a14:useLocalDpi xmlns:a14="http://schemas.microsoft.com/office/drawing/2010/main" val="0"/>
            </a:ext>
          </a:extLst>
        </a:blip>
        <a:srcRect l="15455" t="30012" r="16853" b="21640"/>
        <a:stretch/>
      </xdr:blipFill>
      <xdr:spPr bwMode="auto">
        <a:xfrm>
          <a:off x="0" y="26861365"/>
          <a:ext cx="3619500" cy="3880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34016</xdr:colOff>
      <xdr:row>136</xdr:row>
      <xdr:rowOff>6804</xdr:rowOff>
    </xdr:from>
    <xdr:to>
      <xdr:col>11</xdr:col>
      <xdr:colOff>578892</xdr:colOff>
      <xdr:row>156</xdr:row>
      <xdr:rowOff>81642</xdr:rowOff>
    </xdr:to>
    <xdr:pic>
      <xdr:nvPicPr>
        <xdr:cNvPr id="41" name="Рисунок 40" descr="https://modusline.com/site/files/1/foto-292.jpg">
          <a:extLst>
            <a:ext uri="{FF2B5EF4-FFF2-40B4-BE49-F238E27FC236}">
              <a16:creationId xmlns:a16="http://schemas.microsoft.com/office/drawing/2014/main" id="{00000000-0008-0000-0B00-000029000000}"/>
            </a:ext>
          </a:extLst>
        </xdr:cNvPr>
        <xdr:cNvPicPr>
          <a:picLocks noChangeAspect="1" noChangeArrowheads="1"/>
        </xdr:cNvPicPr>
      </xdr:nvPicPr>
      <xdr:blipFill rotWithShape="1">
        <a:blip xmlns:r="http://schemas.openxmlformats.org/officeDocument/2006/relationships" r:embed="rId38">
          <a:extLst>
            <a:ext uri="{28A0092B-C50C-407E-A947-70E740481C1C}">
              <a14:useLocalDpi xmlns:a14="http://schemas.microsoft.com/office/drawing/2010/main" val="0"/>
            </a:ext>
          </a:extLst>
        </a:blip>
        <a:srcRect l="18110" t="30281" r="14447" b="21128"/>
        <a:stretch/>
      </xdr:blipFill>
      <xdr:spPr bwMode="auto">
        <a:xfrm>
          <a:off x="3707945" y="26826483"/>
          <a:ext cx="3606483" cy="38848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27212</xdr:colOff>
      <xdr:row>136</xdr:row>
      <xdr:rowOff>27212</xdr:rowOff>
    </xdr:from>
    <xdr:to>
      <xdr:col>17</xdr:col>
      <xdr:colOff>588482</xdr:colOff>
      <xdr:row>155</xdr:row>
      <xdr:rowOff>108857</xdr:rowOff>
    </xdr:to>
    <xdr:pic>
      <xdr:nvPicPr>
        <xdr:cNvPr id="42" name="Рисунок 41" descr="https://modusline.com/site/files/1/extra-foto-62.jpg">
          <a:extLst>
            <a:ext uri="{FF2B5EF4-FFF2-40B4-BE49-F238E27FC236}">
              <a16:creationId xmlns:a16="http://schemas.microsoft.com/office/drawing/2014/main" id="{00000000-0008-0000-0B00-00002A000000}"/>
            </a:ext>
          </a:extLst>
        </xdr:cNvPr>
        <xdr:cNvPicPr>
          <a:picLocks noChangeAspect="1" noChangeArrowheads="1"/>
        </xdr:cNvPicPr>
      </xdr:nvPicPr>
      <xdr:blipFill rotWithShape="1">
        <a:blip xmlns:r="http://schemas.openxmlformats.org/officeDocument/2006/relationships" r:embed="rId39">
          <a:extLst>
            <a:ext uri="{28A0092B-C50C-407E-A947-70E740481C1C}">
              <a14:useLocalDpi xmlns:a14="http://schemas.microsoft.com/office/drawing/2010/main" val="0"/>
            </a:ext>
          </a:extLst>
        </a:blip>
        <a:srcRect l="22521" t="30202" r="8471" b="22679"/>
        <a:stretch/>
      </xdr:blipFill>
      <xdr:spPr bwMode="auto">
        <a:xfrm>
          <a:off x="7375069" y="26846891"/>
          <a:ext cx="3622877" cy="3701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14</xdr:col>
      <xdr:colOff>287275</xdr:colOff>
      <xdr:row>36</xdr:row>
      <xdr:rowOff>158695</xdr:rowOff>
    </xdr:from>
    <xdr:to>
      <xdr:col>16</xdr:col>
      <xdr:colOff>521235</xdr:colOff>
      <xdr:row>44</xdr:row>
      <xdr:rowOff>9665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16" name="Рукописный ввод 15">
              <a:extLst>
                <a:ext uri="{FF2B5EF4-FFF2-40B4-BE49-F238E27FC236}">
                  <a16:creationId xmlns:a16="http://schemas.microsoft.com/office/drawing/2014/main" id="{00000000-0008-0000-0D00-000010000000}"/>
                </a:ext>
              </a:extLst>
            </xdr14:cNvPr>
            <xdr14:cNvContentPartPr/>
          </xdr14:nvContentPartPr>
          <xdr14:nvPr macro=""/>
          <xdr14:xfrm>
            <a:off x="10545700" y="7626295"/>
            <a:ext cx="1681760" cy="1603570"/>
          </xdr14:xfrm>
        </xdr:contentPart>
      </mc:Choice>
      <mc:Fallback xmlns="">
        <xdr:pic>
          <xdr:nvPicPr>
            <xdr:cNvPr id="16" name="Рукописный ввод 15">
              <a:extLst>
                <a:ext uri="{FF2B5EF4-FFF2-40B4-BE49-F238E27FC236}">
                  <a16:creationId xmlns:a16="http://schemas.microsoft.com/office/drawing/2014/main" id="{631369C1-EAF1-863E-18CB-46D056AE71DD}"/>
                </a:ext>
              </a:extLst>
            </xdr:cNvPr>
            <xdr:cNvPicPr/>
          </xdr:nvPicPr>
          <xdr:blipFill>
            <a:blip xmlns:r="http://schemas.openxmlformats.org/officeDocument/2006/relationships" r:embed="rId2"/>
            <a:stretch>
              <a:fillRect/>
            </a:stretch>
          </xdr:blipFill>
          <xdr:spPr>
            <a:xfrm>
              <a:off x="12158800" y="7191520"/>
              <a:ext cx="1935720" cy="1660320"/>
            </a:xfrm>
            <a:prstGeom prst="rect">
              <a:avLst/>
            </a:prstGeom>
          </xdr:spPr>
        </xdr:pic>
      </mc:Fallback>
    </mc:AlternateContent>
    <xdr:clientData/>
  </xdr:twoCellAnchor>
  <xdr:twoCellAnchor editAs="oneCell">
    <xdr:from>
      <xdr:col>3</xdr:col>
      <xdr:colOff>321787</xdr:colOff>
      <xdr:row>35</xdr:row>
      <xdr:rowOff>45532</xdr:rowOff>
    </xdr:from>
    <xdr:to>
      <xdr:col>7</xdr:col>
      <xdr:colOff>187769</xdr:colOff>
      <xdr:row>50</xdr:row>
      <xdr:rowOff>17807</xdr:rowOff>
    </xdr:to>
    <xdr:pic>
      <xdr:nvPicPr>
        <xdr:cNvPr id="21" name="Рисунок 20">
          <a:extLst>
            <a:ext uri="{FF2B5EF4-FFF2-40B4-BE49-F238E27FC236}">
              <a16:creationId xmlns:a16="http://schemas.microsoft.com/office/drawing/2014/main" id="{00000000-0008-0000-0D00-00001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20646740">
          <a:off x="2485323" y="7325353"/>
          <a:ext cx="2750696" cy="3061097"/>
        </a:xfrm>
        <a:prstGeom prst="rect">
          <a:avLst/>
        </a:prstGeom>
      </xdr:spPr>
    </xdr:pic>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8-19T13:47:50.091"/>
    </inkml:context>
    <inkml:brush xml:id="br0">
      <inkml:brushProperty name="width" value="0.14111" units="cm"/>
      <inkml:brushProperty name="height" value="0.14111" units="cm"/>
    </inkml:brush>
  </inkml:definitions>
  <inkml:trace contextRef="#ctx0" brushRef="#br0">3685 1385 8027,'-3'-93'0,"3"5"0,4 35 0,6-8 0,3-12 0,-1-4 0,0-9 0,-1-6 0,-4-2 0,-2-5 0,-3 5 0,-1 4 0,-1 12 0,-9-1 0,-3 17 0,-7 5 0,0 9 0,-4 14 0,-1 15 0,-2 12 0,-8 12 0,-12 48 0,16-13 0,-1 6 0,-5 12 0,0 4 0,-3 10 0,0 4 0,-3 7 0,-1 3-81,13-23 1,-1 0-1,0 3 1,-6 12-1,-1 2 1,0 2 0,-3 4-1,0 2 1,0 0 80,10-20 0,0 1 0,0-1 0,-1 1 0,0 2 0,0-1 0,0 1 0,-1 1-537,1 1 1,-1 0-1,0 0 1,0 1 536,-3 0 0,0 1 0,-1-1 0,0 0 0,-1 1 0,1 0 0,-1 0 0,-1 0 0,-1-1 0,-1 1 0,0 0 0,-1-3 0,0 0 0,-3-2 0,2 0 0,-3-2 0,3-3 0,-1-1 0,-1-1 0,1-3-472,-11 15 0,-1-3 1,-2 0 471,12-17 0,-1 2 0,-1-2 0,2-6 0,-1-3 0,1-6 0,0 1 0,-8 4 0,0 2 0,-1-2-38,2-4 0,0-1 0,-2-4 1,-18 8-1,-1-6 38,9-9 0,1-6 0,-3-2 0,3-8 0,14-11 0,2-4 0,-8-2 0,0-5 0,3-7 0,4-7 0,3-7 0,7-9 0,11-11 0,7-6 73,3-6 0,4-2 0,4-5 0,3-3 1,4-4-1,4-2-73,1-1 0,5 1 0,6 0 0,7 2 0,5-1 0,6 3 0,1 12 0,4 3 0,6 0 0,2 3 0,-1 12 0,2 5 0,8-7 0,4 5 0,5 6 0,1 7 0,-1 7 0,3 5 0,16-3 0,0 2 273,-3 6 0,-1 2 0,-19 1 0,1 0 0,1-1-273,1 2 0,1 0 0,0-1 0,3-2 0,1-1 0,0-1 0,2 0 0,1 0 0,-1-2 0,2-3 0,0 0 0,1-1 0,0-2 0,-1-1 0,-2-2 0,-6 0 0,-3 0 0,-1-3 0,1-2 0,-3-2 0,0-2 0,21-15 0,-2-6 0,-22 15 0,-1-2 0,0-2 0,17-21 0,-3-4 0,-6-2 0,-6-1 0,-11 9 0,-6-1 431,-6 4 1,-5-4 0,-5-3 0,-4-2-432,-1-2 0,-3-1 0,-5 1 0,-6 3 76,-10 9 0,-4 4 1,-7 4-1,-5 5-76,-10 3 0,-6 5 0,-10 5 0,-5 5 0,-6 3 0,-5 9 0,-7 8 0,-2 10-48,-5 12 1,0 10-1,24-4 1,1 4-1,-1 4 1,-2 8-1,-1 5 1,1 2 47,0 2 0,0 4 0,1 2 0,0 3 0,2 2 0,1 1-368,0 5 0,2 1 0,2 2 368,-1-1 0,3 1 0,3 1 0,6-4 0,5 1 0,0 1 0,3-2 0,2 1 0,0 0 0,3-2 0,2 1 0,0 0 0,0 3 0,1-1 0,6-2 1,3 8 1,5-2 0,-1 7 0,1 0-2,6-11 0,4-1 0,1 0 0,3 0 0,4 0 0,6-4 0,7-14 0,5-8 0,13-4 0,6-9 0,11-5 0,4-10 0,6-19 0,3-10-30,10-6 1,1-8 0,-25 3 0,-2-5 0,0-3-1,1-7 1,1-3 0,-3-2 29,-2 2 0,0 0 0,-1 0 0,-1-4 0,0-1 0,-4 1 0,9-9 0,-3 1 0,-3 1 0,-4 3 0,-10 12 0,-2 2 0,-2 2 0,0 0 108,6-3 1,-3 2 0,6-8-109,-12 17 0,-20 24 830,-14 24 1,-18 19-831,-19 17 0,-8 13 34,-2 1 0,11-1-34,6 1 0,7-5 147,5-2 0,8 2-147,10-4 0,31-14 0,22-20 0,26-12 0,-26-12 0,2-5 0,-2-6 0,0-4 0,-1-3 0,-2-3 0,31-21 0,-21 3 0,-6-1 0,2-5 0,-22 10 0,-19 10 0,-28 17 0,-11 18 0,-11 12 0,11 10 0,2 9 0,12 1 0,4 2 0,5 0 0,21-1 0,41-11 0,-13-18 0,6-8 0,14-8 0,6-9 0,11-11 0,3-7 0,-20 2 0,2-3 0,-1-5-74,5-8 1,1-5-1,-2-6 1,-2-7 0,-3-5-1,-2-3 1,0-3 0,-2-4-1,-4-1 74,-4 4 0,-4-1 0,-3 0 0,-4 4 0,-5-1 0,-3 1 0,2-26 0,-8 4 0,-7 17 0,-2 0 0,1-7 0,-5 1 0,-4 16 0,-3 3 0,-1 10 0,-1 2 0,-7-20 0,-18 46 0,-21 57 0,14 12 0,0 12 0,-5 18 0,1 10 0,8-8 0,-1 5 0,0 4 0,1 3 0,-1 3 0,1 2-184,5-20 0,0 1 1,-1 1-1,1 2 0,-3 11 1,0 4-1,-1-1 0,0 0 184,1 0 0,-1-2 0,1 2 0,0 0 0,1-9 0,1 1 0,-1 2 0,1-2 0,0-3 0,0 6 0,-1 1 0,1-1 0,-1-1 0</inkml:trace>
</inkm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1072;&#1083;-&#1076;&#1077;&#1082;&#1086;&#1088;.&#1088;&#1092;/Izgotovlenie-alyuminievih-fasadov/"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1072;&#1083;-&#1076;&#1077;&#1082;&#1086;&#1088;.&#1088;&#1092;/Izgotovlenie-alyuminievih-fasadov/"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G161"/>
  <sheetViews>
    <sheetView topLeftCell="A21" zoomScale="111" zoomScaleNormal="100" workbookViewId="0">
      <selection activeCell="F40" sqref="F40"/>
    </sheetView>
  </sheetViews>
  <sheetFormatPr defaultColWidth="8.85546875" defaultRowHeight="15"/>
  <cols>
    <col min="1" max="1" width="69.7109375" style="6" customWidth="1"/>
    <col min="2" max="2" width="63.42578125" style="4" customWidth="1"/>
    <col min="3" max="3" width="12.7109375" customWidth="1"/>
    <col min="4" max="4" width="17.7109375" bestFit="1" customWidth="1"/>
    <col min="5" max="5" width="17.140625" customWidth="1"/>
  </cols>
  <sheetData>
    <row r="1" spans="1:4">
      <c r="A1" s="499" t="s">
        <v>1</v>
      </c>
      <c r="B1" s="251" t="s">
        <v>169</v>
      </c>
      <c r="C1" s="1" t="s">
        <v>299</v>
      </c>
      <c r="D1" s="259" t="s">
        <v>367</v>
      </c>
    </row>
    <row r="2" spans="1:4">
      <c r="A2" s="500"/>
      <c r="B2" s="252" t="s">
        <v>178</v>
      </c>
      <c r="C2" s="2" t="s">
        <v>299</v>
      </c>
      <c r="D2" s="260"/>
    </row>
    <row r="3" spans="1:4">
      <c r="A3" s="500"/>
      <c r="B3" s="253" t="s">
        <v>170</v>
      </c>
      <c r="C3" s="2" t="s">
        <v>300</v>
      </c>
      <c r="D3" s="260" t="s">
        <v>367</v>
      </c>
    </row>
    <row r="4" spans="1:4">
      <c r="A4" s="500"/>
      <c r="B4" s="253" t="s">
        <v>179</v>
      </c>
      <c r="C4" s="2" t="s">
        <v>299</v>
      </c>
      <c r="D4" s="260"/>
    </row>
    <row r="5" spans="1:4">
      <c r="A5" s="500"/>
      <c r="B5" s="253" t="s">
        <v>171</v>
      </c>
      <c r="C5" s="2" t="s">
        <v>300</v>
      </c>
      <c r="D5" s="260"/>
    </row>
    <row r="6" spans="1:4">
      <c r="A6" s="500"/>
      <c r="B6" s="253" t="s">
        <v>180</v>
      </c>
      <c r="C6" s="2" t="s">
        <v>300</v>
      </c>
      <c r="D6" s="260"/>
    </row>
    <row r="7" spans="1:4">
      <c r="A7" s="500"/>
      <c r="B7" s="253" t="s">
        <v>172</v>
      </c>
      <c r="C7" s="2" t="s">
        <v>300</v>
      </c>
      <c r="D7" s="260"/>
    </row>
    <row r="8" spans="1:4">
      <c r="A8" s="500"/>
      <c r="B8" s="253" t="s">
        <v>173</v>
      </c>
      <c r="C8" s="2" t="s">
        <v>300</v>
      </c>
      <c r="D8" s="260" t="s">
        <v>367</v>
      </c>
    </row>
    <row r="9" spans="1:4">
      <c r="A9" s="500"/>
      <c r="B9" s="253" t="s">
        <v>290</v>
      </c>
      <c r="C9" s="2" t="s">
        <v>300</v>
      </c>
      <c r="D9" s="260" t="s">
        <v>367</v>
      </c>
    </row>
    <row r="10" spans="1:4">
      <c r="A10" s="500"/>
      <c r="B10" s="253" t="s">
        <v>174</v>
      </c>
      <c r="C10" s="2" t="s">
        <v>300</v>
      </c>
      <c r="D10" s="260"/>
    </row>
    <row r="11" spans="1:4">
      <c r="A11" s="500"/>
      <c r="B11" s="253" t="s">
        <v>37</v>
      </c>
      <c r="C11" s="257"/>
      <c r="D11" s="260"/>
    </row>
    <row r="12" spans="1:4">
      <c r="A12" s="500"/>
      <c r="B12" s="253" t="s">
        <v>36</v>
      </c>
      <c r="C12" s="2" t="s">
        <v>299</v>
      </c>
      <c r="D12" s="260" t="s">
        <v>367</v>
      </c>
    </row>
    <row r="13" spans="1:4">
      <c r="A13" s="500"/>
      <c r="B13" s="253" t="s">
        <v>114</v>
      </c>
      <c r="C13" s="257"/>
      <c r="D13" s="260"/>
    </row>
    <row r="14" spans="1:4">
      <c r="A14" s="500"/>
      <c r="B14" s="254" t="s">
        <v>115</v>
      </c>
      <c r="C14" s="2" t="s">
        <v>299</v>
      </c>
      <c r="D14" s="260" t="s">
        <v>367</v>
      </c>
    </row>
    <row r="15" spans="1:4">
      <c r="A15" s="500"/>
      <c r="B15" s="255" t="s">
        <v>258</v>
      </c>
      <c r="C15" s="257"/>
      <c r="D15" s="260"/>
    </row>
    <row r="16" spans="1:4">
      <c r="A16" s="500"/>
      <c r="B16" s="256" t="s">
        <v>259</v>
      </c>
      <c r="C16" s="2" t="s">
        <v>299</v>
      </c>
      <c r="D16" s="260" t="s">
        <v>367</v>
      </c>
    </row>
    <row r="17" spans="1:4">
      <c r="A17" s="500"/>
      <c r="B17" s="256" t="s">
        <v>291</v>
      </c>
      <c r="C17" s="257"/>
      <c r="D17" s="260"/>
    </row>
    <row r="18" spans="1:4">
      <c r="A18" s="500"/>
      <c r="B18" s="256" t="s">
        <v>292</v>
      </c>
      <c r="C18" s="2" t="s">
        <v>299</v>
      </c>
      <c r="D18" s="260" t="s">
        <v>367</v>
      </c>
    </row>
    <row r="19" spans="1:4">
      <c r="A19" s="500"/>
      <c r="B19" s="256" t="s">
        <v>293</v>
      </c>
      <c r="C19" s="2" t="s">
        <v>299</v>
      </c>
      <c r="D19" s="260" t="s">
        <v>367</v>
      </c>
    </row>
    <row r="20" spans="1:4">
      <c r="A20" s="500"/>
      <c r="B20" s="256" t="s">
        <v>294</v>
      </c>
      <c r="C20" s="2" t="s">
        <v>299</v>
      </c>
      <c r="D20" s="260" t="s">
        <v>367</v>
      </c>
    </row>
    <row r="21" spans="1:4">
      <c r="A21" s="500"/>
      <c r="B21" s="256" t="s">
        <v>260</v>
      </c>
      <c r="C21" s="257"/>
      <c r="D21" s="260"/>
    </row>
    <row r="22" spans="1:4">
      <c r="A22" s="500"/>
      <c r="B22" s="256" t="s">
        <v>261</v>
      </c>
      <c r="C22" s="244" t="s">
        <v>300</v>
      </c>
      <c r="D22" s="260" t="s">
        <v>367</v>
      </c>
    </row>
    <row r="23" spans="1:4" ht="15.75" thickBot="1">
      <c r="A23" s="500"/>
      <c r="B23" s="256" t="s">
        <v>295</v>
      </c>
      <c r="C23" s="258"/>
      <c r="D23" s="261"/>
    </row>
    <row r="24" spans="1:4">
      <c r="A24" s="499" t="s">
        <v>0</v>
      </c>
      <c r="B24" s="1" t="s">
        <v>3</v>
      </c>
    </row>
    <row r="25" spans="1:4">
      <c r="A25" s="500"/>
      <c r="B25" s="2" t="s">
        <v>4</v>
      </c>
    </row>
    <row r="26" spans="1:4">
      <c r="A26" s="500"/>
      <c r="B26" s="2" t="s">
        <v>2</v>
      </c>
    </row>
    <row r="27" spans="1:4">
      <c r="A27" s="500"/>
      <c r="B27" s="2" t="s">
        <v>5</v>
      </c>
    </row>
    <row r="28" spans="1:4">
      <c r="A28" s="500"/>
      <c r="B28" s="2" t="s">
        <v>181</v>
      </c>
    </row>
    <row r="29" spans="1:4">
      <c r="A29" s="500"/>
      <c r="B29" s="2" t="s">
        <v>8</v>
      </c>
    </row>
    <row r="30" spans="1:4">
      <c r="A30" s="500"/>
      <c r="B30" s="2" t="s">
        <v>9</v>
      </c>
    </row>
    <row r="31" spans="1:4">
      <c r="A31" s="500"/>
      <c r="B31" s="2" t="s">
        <v>7</v>
      </c>
    </row>
    <row r="32" spans="1:4">
      <c r="A32" s="500"/>
      <c r="B32" s="2" t="s">
        <v>10</v>
      </c>
    </row>
    <row r="33" spans="1:7">
      <c r="A33" s="500"/>
      <c r="B33" s="2" t="s">
        <v>6</v>
      </c>
    </row>
    <row r="34" spans="1:7">
      <c r="A34" s="500"/>
      <c r="B34" s="2" t="s">
        <v>23</v>
      </c>
    </row>
    <row r="35" spans="1:7">
      <c r="A35" s="500"/>
      <c r="B35" s="2" t="s">
        <v>221</v>
      </c>
    </row>
    <row r="36" spans="1:7" ht="15.75" thickBot="1">
      <c r="A36" s="501"/>
      <c r="B36" s="3" t="s">
        <v>225</v>
      </c>
    </row>
    <row r="37" spans="1:7" ht="15.75" thickBot="1">
      <c r="A37" s="495" t="s">
        <v>11</v>
      </c>
      <c r="B37" s="1" t="s">
        <v>12</v>
      </c>
      <c r="C37" s="168" t="s">
        <v>301</v>
      </c>
    </row>
    <row r="38" spans="1:7" ht="15.75" thickBot="1">
      <c r="A38" s="502"/>
      <c r="B38" s="2" t="s">
        <v>13</v>
      </c>
      <c r="C38" s="168" t="s">
        <v>301</v>
      </c>
    </row>
    <row r="39" spans="1:7" ht="15.75" thickBot="1">
      <c r="A39" s="502"/>
      <c r="B39" s="292" t="s">
        <v>191</v>
      </c>
      <c r="C39" s="168" t="s">
        <v>299</v>
      </c>
    </row>
    <row r="40" spans="1:7" ht="15.75" thickBot="1">
      <c r="A40" s="502"/>
      <c r="B40" s="292" t="s">
        <v>192</v>
      </c>
      <c r="C40" s="168" t="s">
        <v>299</v>
      </c>
    </row>
    <row r="41" spans="1:7" ht="15.75" thickBot="1">
      <c r="A41" s="502"/>
      <c r="B41" s="292" t="s">
        <v>193</v>
      </c>
      <c r="C41" s="168" t="s">
        <v>299</v>
      </c>
    </row>
    <row r="42" spans="1:7" ht="15.75" thickBot="1">
      <c r="A42" s="502"/>
      <c r="B42" s="292" t="s">
        <v>194</v>
      </c>
      <c r="C42" s="168" t="s">
        <v>299</v>
      </c>
      <c r="G42" s="19"/>
    </row>
    <row r="43" spans="1:7" ht="15.75" thickBot="1">
      <c r="A43" s="502"/>
      <c r="B43" s="293" t="s">
        <v>273</v>
      </c>
      <c r="C43" s="168" t="s">
        <v>299</v>
      </c>
    </row>
    <row r="44" spans="1:7" ht="15.75" thickBot="1">
      <c r="A44" s="502"/>
      <c r="B44" s="292" t="s">
        <v>195</v>
      </c>
      <c r="C44" s="168" t="s">
        <v>299</v>
      </c>
    </row>
    <row r="45" spans="1:7" ht="15.75" thickBot="1">
      <c r="A45" s="502"/>
      <c r="B45" s="292" t="s">
        <v>196</v>
      </c>
      <c r="C45" s="168" t="s">
        <v>299</v>
      </c>
    </row>
    <row r="46" spans="1:7" ht="15.75" thickBot="1">
      <c r="A46" s="502"/>
      <c r="B46" s="292" t="s">
        <v>197</v>
      </c>
      <c r="C46" s="168" t="s">
        <v>299</v>
      </c>
    </row>
    <row r="47" spans="1:7" ht="15.75" thickBot="1">
      <c r="A47" s="502"/>
      <c r="B47" s="292" t="s">
        <v>198</v>
      </c>
      <c r="C47" s="168" t="s">
        <v>299</v>
      </c>
    </row>
    <row r="48" spans="1:7" ht="15.75" thickBot="1">
      <c r="A48" s="502"/>
      <c r="B48" s="93" t="s">
        <v>199</v>
      </c>
      <c r="C48" s="165" t="s">
        <v>300</v>
      </c>
    </row>
    <row r="49" spans="1:3" ht="15.75" thickBot="1">
      <c r="A49" s="502"/>
      <c r="B49" s="93" t="s">
        <v>200</v>
      </c>
      <c r="C49" s="165" t="s">
        <v>300</v>
      </c>
    </row>
    <row r="50" spans="1:3" ht="15.75" thickBot="1">
      <c r="A50" s="502"/>
      <c r="B50" s="93" t="s">
        <v>201</v>
      </c>
      <c r="C50" s="165" t="s">
        <v>300</v>
      </c>
    </row>
    <row r="51" spans="1:3" ht="15.75" thickBot="1">
      <c r="A51" s="502"/>
      <c r="B51" s="93" t="s">
        <v>202</v>
      </c>
      <c r="C51" s="165" t="s">
        <v>300</v>
      </c>
    </row>
    <row r="52" spans="1:3" ht="15.75" thickBot="1">
      <c r="A52" s="502"/>
      <c r="B52" s="93" t="s">
        <v>203</v>
      </c>
      <c r="C52" s="165" t="s">
        <v>300</v>
      </c>
    </row>
    <row r="53" spans="1:3" ht="15.75" thickBot="1">
      <c r="A53" s="502"/>
      <c r="B53" s="93" t="s">
        <v>204</v>
      </c>
      <c r="C53" s="165" t="s">
        <v>300</v>
      </c>
    </row>
    <row r="54" spans="1:3" ht="15.75" thickBot="1">
      <c r="A54" s="502"/>
      <c r="B54" s="93" t="s">
        <v>205</v>
      </c>
      <c r="C54" s="165" t="s">
        <v>300</v>
      </c>
    </row>
    <row r="55" spans="1:3" ht="15.75" thickBot="1">
      <c r="A55" s="502"/>
      <c r="B55" s="93" t="s">
        <v>206</v>
      </c>
      <c r="C55" s="165" t="s">
        <v>300</v>
      </c>
    </row>
    <row r="56" spans="1:3" ht="15.75" thickBot="1">
      <c r="A56" s="502"/>
      <c r="B56" s="93" t="s">
        <v>207</v>
      </c>
      <c r="C56" s="165" t="s">
        <v>300</v>
      </c>
    </row>
    <row r="57" spans="1:3" ht="15.75" thickBot="1">
      <c r="A57" s="502"/>
      <c r="B57" s="93" t="s">
        <v>208</v>
      </c>
      <c r="C57" s="165" t="s">
        <v>300</v>
      </c>
    </row>
    <row r="58" spans="1:3" ht="15.75" thickBot="1">
      <c r="A58" s="502"/>
      <c r="B58" s="93" t="s">
        <v>209</v>
      </c>
      <c r="C58" s="165" t="s">
        <v>300</v>
      </c>
    </row>
    <row r="59" spans="1:3" ht="15.75" thickBot="1">
      <c r="A59" s="502"/>
      <c r="B59" s="93" t="s">
        <v>210</v>
      </c>
      <c r="C59" s="165" t="s">
        <v>300</v>
      </c>
    </row>
    <row r="60" spans="1:3" ht="15.75" thickBot="1">
      <c r="A60" s="502"/>
      <c r="B60" s="294" t="s">
        <v>211</v>
      </c>
      <c r="C60" s="168" t="s">
        <v>299</v>
      </c>
    </row>
    <row r="61" spans="1:3" ht="15.75" thickBot="1">
      <c r="A61" s="502"/>
      <c r="B61" s="294" t="s">
        <v>212</v>
      </c>
      <c r="C61" s="168" t="s">
        <v>299</v>
      </c>
    </row>
    <row r="62" spans="1:3">
      <c r="A62" s="502"/>
      <c r="B62" s="295" t="s">
        <v>262</v>
      </c>
    </row>
    <row r="63" spans="1:3">
      <c r="A63" s="502"/>
      <c r="B63" s="295" t="s">
        <v>390</v>
      </c>
    </row>
    <row r="64" spans="1:3">
      <c r="A64" s="502"/>
      <c r="B64" s="295" t="s">
        <v>106</v>
      </c>
    </row>
    <row r="65" spans="1:3">
      <c r="A65" s="502"/>
      <c r="B65" s="296" t="s">
        <v>107</v>
      </c>
    </row>
    <row r="66" spans="1:3">
      <c r="A66" s="502"/>
      <c r="B66" s="297" t="s">
        <v>263</v>
      </c>
    </row>
    <row r="67" spans="1:3">
      <c r="A67" s="502"/>
      <c r="B67" s="297" t="s">
        <v>264</v>
      </c>
    </row>
    <row r="68" spans="1:3">
      <c r="A68" s="502"/>
      <c r="B68" s="297" t="s">
        <v>382</v>
      </c>
    </row>
    <row r="69" spans="1:3" ht="15.75" thickBot="1">
      <c r="A69" s="502"/>
      <c r="B69" s="297" t="s">
        <v>383</v>
      </c>
    </row>
    <row r="70" spans="1:3" ht="15.75" thickBot="1">
      <c r="A70" s="502"/>
      <c r="B70" s="298" t="s">
        <v>391</v>
      </c>
      <c r="C70" s="168" t="s">
        <v>299</v>
      </c>
    </row>
    <row r="71" spans="1:3" ht="15.75" thickBot="1">
      <c r="A71" s="496"/>
      <c r="B71" s="299" t="s">
        <v>189</v>
      </c>
    </row>
    <row r="72" spans="1:3">
      <c r="A72" s="500" t="s">
        <v>14</v>
      </c>
      <c r="B72" s="21" t="s">
        <v>15</v>
      </c>
    </row>
    <row r="73" spans="1:3">
      <c r="A73" s="500"/>
      <c r="B73" s="8" t="s">
        <v>21</v>
      </c>
    </row>
    <row r="74" spans="1:3">
      <c r="A74" s="500"/>
      <c r="B74" s="8" t="s">
        <v>111</v>
      </c>
    </row>
    <row r="75" spans="1:3">
      <c r="A75" s="500"/>
      <c r="B75" s="8" t="s">
        <v>384</v>
      </c>
    </row>
    <row r="76" spans="1:3">
      <c r="A76" s="500"/>
      <c r="B76" s="8" t="s">
        <v>110</v>
      </c>
    </row>
    <row r="77" spans="1:3">
      <c r="A77" s="500"/>
      <c r="B77" s="8" t="s">
        <v>22</v>
      </c>
    </row>
    <row r="78" spans="1:3">
      <c r="A78" s="500"/>
      <c r="B78" s="8" t="s">
        <v>307</v>
      </c>
    </row>
    <row r="79" spans="1:3">
      <c r="A79" s="500"/>
      <c r="B79" s="8" t="s">
        <v>308</v>
      </c>
    </row>
    <row r="80" spans="1:3">
      <c r="A80" s="500"/>
      <c r="B80" s="8" t="s">
        <v>309</v>
      </c>
    </row>
    <row r="81" spans="1:5">
      <c r="A81" s="500"/>
      <c r="B81" s="8" t="s">
        <v>310</v>
      </c>
    </row>
    <row r="82" spans="1:5">
      <c r="A82" s="500"/>
      <c r="B82" s="8" t="s">
        <v>311</v>
      </c>
    </row>
    <row r="83" spans="1:5">
      <c r="A83" s="500"/>
      <c r="B83" s="8" t="s">
        <v>312</v>
      </c>
    </row>
    <row r="84" spans="1:5">
      <c r="A84" s="500"/>
      <c r="B84" s="93" t="s">
        <v>314</v>
      </c>
    </row>
    <row r="85" spans="1:5">
      <c r="A85" s="500"/>
      <c r="B85" s="93" t="s">
        <v>315</v>
      </c>
    </row>
    <row r="86" spans="1:5">
      <c r="A86" s="500"/>
      <c r="B86" s="93" t="s">
        <v>316</v>
      </c>
    </row>
    <row r="87" spans="1:5">
      <c r="A87" s="500"/>
      <c r="B87" s="93" t="s">
        <v>317</v>
      </c>
    </row>
    <row r="88" spans="1:5">
      <c r="A88" s="500"/>
      <c r="B88" s="93" t="s">
        <v>318</v>
      </c>
    </row>
    <row r="89" spans="1:5" ht="15.75" thickBot="1">
      <c r="A89" s="500"/>
      <c r="B89" s="93" t="s">
        <v>319</v>
      </c>
    </row>
    <row r="90" spans="1:5" ht="15.75" thickBot="1">
      <c r="A90" s="500"/>
      <c r="B90" s="76" t="s">
        <v>344</v>
      </c>
      <c r="E90" s="300" t="s">
        <v>386</v>
      </c>
    </row>
    <row r="91" spans="1:5" ht="15.75" thickBot="1">
      <c r="A91" s="500"/>
      <c r="B91" s="76" t="s">
        <v>343</v>
      </c>
      <c r="E91" s="300" t="s">
        <v>386</v>
      </c>
    </row>
    <row r="92" spans="1:5" ht="15.75" thickBot="1">
      <c r="A92" s="500"/>
      <c r="B92" s="76" t="s">
        <v>338</v>
      </c>
      <c r="E92" s="300" t="s">
        <v>386</v>
      </c>
    </row>
    <row r="93" spans="1:5" ht="15.75" thickBot="1">
      <c r="A93" s="500"/>
      <c r="B93" s="76" t="s">
        <v>339</v>
      </c>
      <c r="E93" s="300" t="s">
        <v>386</v>
      </c>
    </row>
    <row r="94" spans="1:5" ht="15.75" thickBot="1">
      <c r="A94" s="500"/>
      <c r="B94" s="76" t="s">
        <v>340</v>
      </c>
      <c r="E94" s="300" t="s">
        <v>386</v>
      </c>
    </row>
    <row r="95" spans="1:5" ht="15.75" thickBot="1">
      <c r="A95" s="500"/>
      <c r="B95" s="76" t="s">
        <v>341</v>
      </c>
      <c r="E95" s="300" t="s">
        <v>386</v>
      </c>
    </row>
    <row r="96" spans="1:5" ht="15.75" thickBot="1">
      <c r="A96" s="500"/>
      <c r="B96" s="76" t="s">
        <v>336</v>
      </c>
      <c r="E96" s="300" t="s">
        <v>386</v>
      </c>
    </row>
    <row r="97" spans="1:5" ht="15.75" thickBot="1">
      <c r="A97" s="500"/>
      <c r="B97" s="76" t="s">
        <v>335</v>
      </c>
      <c r="E97" s="300" t="s">
        <v>386</v>
      </c>
    </row>
    <row r="98" spans="1:5" ht="15.75" thickBot="1">
      <c r="A98" s="500"/>
      <c r="B98" s="76" t="s">
        <v>334</v>
      </c>
      <c r="E98" s="300" t="s">
        <v>386</v>
      </c>
    </row>
    <row r="99" spans="1:5" ht="15.75" thickBot="1">
      <c r="A99" s="500"/>
      <c r="B99" s="76" t="s">
        <v>333</v>
      </c>
      <c r="E99" s="300" t="s">
        <v>386</v>
      </c>
    </row>
    <row r="100" spans="1:5" ht="15.75" thickBot="1">
      <c r="A100" s="500"/>
      <c r="B100" s="76" t="s">
        <v>332</v>
      </c>
      <c r="E100" s="300" t="s">
        <v>386</v>
      </c>
    </row>
    <row r="101" spans="1:5" ht="15.75" thickBot="1">
      <c r="A101" s="500"/>
      <c r="B101" s="76" t="s">
        <v>331</v>
      </c>
      <c r="E101" s="300" t="s">
        <v>386</v>
      </c>
    </row>
    <row r="102" spans="1:5" ht="15.75" thickBot="1">
      <c r="A102" s="500"/>
      <c r="B102" s="76" t="s">
        <v>330</v>
      </c>
      <c r="E102" s="300" t="s">
        <v>386</v>
      </c>
    </row>
    <row r="103" spans="1:5" ht="15.75" thickBot="1">
      <c r="A103" s="500"/>
      <c r="B103" s="76" t="s">
        <v>328</v>
      </c>
      <c r="E103" s="300" t="s">
        <v>386</v>
      </c>
    </row>
    <row r="104" spans="1:5" ht="15.75" thickBot="1">
      <c r="A104" s="500"/>
      <c r="B104" s="76" t="s">
        <v>16</v>
      </c>
      <c r="E104" s="300" t="s">
        <v>386</v>
      </c>
    </row>
    <row r="105" spans="1:5" ht="15.75" thickBot="1">
      <c r="A105" s="500"/>
      <c r="B105" s="76" t="s">
        <v>17</v>
      </c>
      <c r="E105" s="300" t="s">
        <v>386</v>
      </c>
    </row>
    <row r="106" spans="1:5" ht="15.75" thickBot="1">
      <c r="A106" s="500"/>
      <c r="B106" s="76" t="s">
        <v>18</v>
      </c>
      <c r="E106" s="300" t="s">
        <v>386</v>
      </c>
    </row>
    <row r="107" spans="1:5" ht="15.75" thickBot="1">
      <c r="A107" s="500"/>
      <c r="B107" s="76" t="s">
        <v>324</v>
      </c>
      <c r="E107" s="300" t="s">
        <v>386</v>
      </c>
    </row>
    <row r="108" spans="1:5" ht="15.75" thickBot="1">
      <c r="A108" s="500"/>
      <c r="B108" s="76" t="s">
        <v>19</v>
      </c>
      <c r="E108" s="300" t="s">
        <v>386</v>
      </c>
    </row>
    <row r="109" spans="1:5" ht="15.75" thickBot="1">
      <c r="A109" s="500"/>
      <c r="B109" s="76" t="s">
        <v>20</v>
      </c>
      <c r="E109" s="300" t="s">
        <v>386</v>
      </c>
    </row>
    <row r="110" spans="1:5" ht="15.75" thickBot="1">
      <c r="A110" s="500"/>
      <c r="B110" s="76" t="s">
        <v>325</v>
      </c>
      <c r="E110" s="300" t="s">
        <v>386</v>
      </c>
    </row>
    <row r="111" spans="1:5" ht="15.75" thickBot="1">
      <c r="A111" s="500"/>
      <c r="B111" s="151" t="s">
        <v>246</v>
      </c>
      <c r="E111" s="300" t="s">
        <v>386</v>
      </c>
    </row>
    <row r="112" spans="1:5" ht="15.75" thickBot="1">
      <c r="A112" s="495" t="s">
        <v>406</v>
      </c>
      <c r="B112" s="399" t="s">
        <v>407</v>
      </c>
      <c r="E112" s="300" t="s">
        <v>386</v>
      </c>
    </row>
    <row r="113" spans="1:5" ht="15.75" thickBot="1">
      <c r="A113" s="496"/>
      <c r="B113" s="399" t="s">
        <v>408</v>
      </c>
      <c r="E113" s="300" t="s">
        <v>386</v>
      </c>
    </row>
    <row r="114" spans="1:5">
      <c r="A114" s="495" t="s">
        <v>216</v>
      </c>
      <c r="B114" s="125" t="s">
        <v>217</v>
      </c>
    </row>
    <row r="115" spans="1:5" ht="15.75" thickBot="1">
      <c r="A115" s="496"/>
      <c r="B115" s="126" t="s">
        <v>218</v>
      </c>
    </row>
    <row r="116" spans="1:5">
      <c r="A116" s="495" t="s">
        <v>39</v>
      </c>
      <c r="B116" s="1" t="s">
        <v>40</v>
      </c>
    </row>
    <row r="117" spans="1:5" ht="15.75" thickBot="1">
      <c r="A117" s="502"/>
      <c r="B117" s="3" t="s">
        <v>41</v>
      </c>
    </row>
    <row r="118" spans="1:5" ht="15.75" thickBot="1">
      <c r="A118" s="236" t="s">
        <v>304</v>
      </c>
      <c r="B118" s="40" t="s">
        <v>42</v>
      </c>
    </row>
    <row r="119" spans="1:5">
      <c r="A119" s="495" t="s">
        <v>119</v>
      </c>
      <c r="B119" s="1" t="s">
        <v>269</v>
      </c>
    </row>
    <row r="120" spans="1:5">
      <c r="A120" s="502"/>
      <c r="B120" s="2" t="s">
        <v>271</v>
      </c>
    </row>
    <row r="121" spans="1:5">
      <c r="A121" s="502"/>
      <c r="B121" s="2" t="s">
        <v>129</v>
      </c>
    </row>
    <row r="122" spans="1:5">
      <c r="A122" s="502"/>
      <c r="B122" s="2" t="s">
        <v>137</v>
      </c>
    </row>
    <row r="123" spans="1:5" ht="15.75" thickBot="1">
      <c r="A123" s="496"/>
      <c r="B123" s="3" t="s">
        <v>130</v>
      </c>
    </row>
    <row r="124" spans="1:5">
      <c r="A124" s="499" t="s">
        <v>121</v>
      </c>
      <c r="B124" s="41" t="s">
        <v>3</v>
      </c>
    </row>
    <row r="125" spans="1:5">
      <c r="A125" s="500"/>
      <c r="B125" s="41" t="s">
        <v>6</v>
      </c>
    </row>
    <row r="126" spans="1:5">
      <c r="A126" s="500"/>
      <c r="B126" s="2" t="s">
        <v>23</v>
      </c>
    </row>
    <row r="127" spans="1:5">
      <c r="A127" s="500"/>
      <c r="B127" s="2" t="s">
        <v>8</v>
      </c>
    </row>
    <row r="128" spans="1:5" ht="15.75" thickBot="1">
      <c r="A128" s="501"/>
      <c r="B128" s="129" t="s">
        <v>221</v>
      </c>
    </row>
    <row r="129" spans="1:3">
      <c r="A129" s="495" t="s">
        <v>141</v>
      </c>
      <c r="B129" s="1" t="s">
        <v>140</v>
      </c>
    </row>
    <row r="130" spans="1:3" ht="15.75" thickBot="1">
      <c r="A130" s="496"/>
      <c r="B130" s="3" t="s">
        <v>139</v>
      </c>
    </row>
    <row r="131" spans="1:3">
      <c r="A131" s="499" t="s">
        <v>122</v>
      </c>
      <c r="B131" s="41" t="s">
        <v>125</v>
      </c>
    </row>
    <row r="132" spans="1:3">
      <c r="A132" s="500"/>
      <c r="B132" s="2" t="s">
        <v>123</v>
      </c>
    </row>
    <row r="133" spans="1:3" ht="15.75" thickBot="1">
      <c r="A133" s="501"/>
      <c r="B133" s="7" t="s">
        <v>124</v>
      </c>
    </row>
    <row r="134" spans="1:3">
      <c r="A134" s="495" t="s">
        <v>243</v>
      </c>
      <c r="B134" s="1" t="s">
        <v>244</v>
      </c>
    </row>
    <row r="135" spans="1:3" ht="15.75" thickBot="1">
      <c r="A135" s="496"/>
      <c r="B135" s="3" t="s">
        <v>245</v>
      </c>
    </row>
    <row r="136" spans="1:3">
      <c r="A136" s="495" t="s">
        <v>393</v>
      </c>
      <c r="B136" s="1" t="s">
        <v>395</v>
      </c>
    </row>
    <row r="137" spans="1:3" ht="15.75" thickBot="1">
      <c r="A137" s="496"/>
      <c r="B137" s="3" t="s">
        <v>394</v>
      </c>
    </row>
    <row r="143" spans="1:3">
      <c r="C143" s="10" t="s">
        <v>30</v>
      </c>
    </row>
    <row r="144" spans="1:3">
      <c r="C144" s="5"/>
    </row>
    <row r="146" spans="1:2">
      <c r="A146" s="497" t="s">
        <v>43</v>
      </c>
      <c r="B146" s="41" t="s">
        <v>44</v>
      </c>
    </row>
    <row r="147" spans="1:2">
      <c r="A147" s="498"/>
      <c r="B147" s="2" t="s">
        <v>45</v>
      </c>
    </row>
    <row r="148" spans="1:2">
      <c r="A148" s="498"/>
      <c r="B148" s="2" t="s">
        <v>46</v>
      </c>
    </row>
    <row r="149" spans="1:2">
      <c r="A149" s="498"/>
      <c r="B149" s="2" t="s">
        <v>47</v>
      </c>
    </row>
    <row r="150" spans="1:2">
      <c r="A150" s="498"/>
      <c r="B150" s="2" t="s">
        <v>48</v>
      </c>
    </row>
    <row r="151" spans="1:2" ht="15.75" thickBot="1">
      <c r="A151" s="498"/>
      <c r="B151" s="3" t="s">
        <v>49</v>
      </c>
    </row>
    <row r="152" spans="1:2">
      <c r="A152" s="4" t="s">
        <v>24</v>
      </c>
      <c r="B152" s="4">
        <v>-30</v>
      </c>
    </row>
    <row r="153" spans="1:2">
      <c r="A153" s="4" t="s">
        <v>25</v>
      </c>
      <c r="B153" s="4">
        <v>-24</v>
      </c>
    </row>
    <row r="154" spans="1:2">
      <c r="A154" s="4" t="s">
        <v>26</v>
      </c>
      <c r="B154" s="4">
        <v>-93</v>
      </c>
    </row>
    <row r="155" spans="1:2">
      <c r="A155" s="4" t="s">
        <v>27</v>
      </c>
      <c r="B155" s="4">
        <v>-46</v>
      </c>
    </row>
    <row r="156" spans="1:2">
      <c r="A156" s="4" t="s">
        <v>28</v>
      </c>
      <c r="B156" s="4">
        <v>-5</v>
      </c>
    </row>
    <row r="157" spans="1:2">
      <c r="A157" s="4" t="s">
        <v>29</v>
      </c>
      <c r="B157" s="4">
        <v>-5</v>
      </c>
    </row>
    <row r="158" spans="1:2">
      <c r="A158" s="4" t="s">
        <v>31</v>
      </c>
      <c r="B158" s="4">
        <v>-5</v>
      </c>
    </row>
    <row r="159" spans="1:2">
      <c r="A159" s="4" t="s">
        <v>32</v>
      </c>
      <c r="B159" s="4">
        <v>-3</v>
      </c>
    </row>
    <row r="160" spans="1:2">
      <c r="A160"/>
      <c r="B160"/>
    </row>
    <row r="161" spans="1:2">
      <c r="A161" t="s">
        <v>33</v>
      </c>
      <c r="B161" s="9" t="s">
        <v>34</v>
      </c>
    </row>
  </sheetData>
  <sheetProtection algorithmName="SHA-512" hashValue="D1NrRgB1Y8x190GXMxwj0i817CMg6Xgumw3T2pW1ZOItyQRTNGnS/XdHENBsz9kOaLI+vmSozYQpez50rw+Ulw==" saltValue="hKg0w2aC6NxDrkKd9URwwQ==" spinCount="100000" sheet="1" objects="1" scenarios="1"/>
  <mergeCells count="14">
    <mergeCell ref="A136:A137"/>
    <mergeCell ref="A146:A151"/>
    <mergeCell ref="A129:A130"/>
    <mergeCell ref="A134:A135"/>
    <mergeCell ref="A1:A23"/>
    <mergeCell ref="A24:A36"/>
    <mergeCell ref="A119:A123"/>
    <mergeCell ref="A124:A128"/>
    <mergeCell ref="A131:A133"/>
    <mergeCell ref="A116:A117"/>
    <mergeCell ref="A114:A115"/>
    <mergeCell ref="A72:A111"/>
    <mergeCell ref="A112:A113"/>
    <mergeCell ref="A37:A71"/>
  </mergeCells>
  <phoneticPr fontId="37" type="noConversion"/>
  <pageMargins left="0.7" right="0.7" top="0.75" bottom="0.75" header="0.3" footer="0.3"/>
  <pageSetup paperSize="9" scale="65" orientation="portrait" verticalDpi="0" r:id="rId1"/>
  <colBreaks count="1" manualBreakCount="1">
    <brk id="2" max="10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9">
    <tabColor rgb="FF0070C0"/>
    <pageSetUpPr fitToPage="1"/>
  </sheetPr>
  <dimension ref="A1:AI32"/>
  <sheetViews>
    <sheetView zoomScale="70" zoomScaleNormal="70" zoomScaleSheetLayoutView="50" workbookViewId="0">
      <selection activeCell="I4" sqref="I4"/>
    </sheetView>
  </sheetViews>
  <sheetFormatPr defaultColWidth="8.85546875" defaultRowHeight="15"/>
  <cols>
    <col min="1" max="1" width="4.85546875" style="78" customWidth="1"/>
    <col min="2" max="2" width="39" style="78" customWidth="1"/>
    <col min="3" max="3" width="23.140625" style="78" customWidth="1"/>
    <col min="4" max="6" width="12.7109375" style="78" customWidth="1"/>
    <col min="7" max="7" width="35.7109375" style="78" customWidth="1"/>
    <col min="8" max="8" width="21.28515625" style="78" customWidth="1"/>
    <col min="9" max="9" width="20.85546875" style="78" customWidth="1"/>
    <col min="10" max="10" width="25.85546875" style="78" customWidth="1"/>
    <col min="11" max="11" width="33.85546875" style="78" customWidth="1"/>
    <col min="12" max="12" width="24" style="78" hidden="1" customWidth="1"/>
    <col min="13" max="13" width="26.85546875" style="78" customWidth="1"/>
    <col min="14" max="15" width="7.85546875" style="78" hidden="1" customWidth="1"/>
    <col min="16" max="17" width="13" style="78" hidden="1" customWidth="1"/>
    <col min="18" max="18" width="9.28515625" style="78" hidden="1" customWidth="1"/>
    <col min="19" max="19" width="7.85546875" style="78" hidden="1" customWidth="1"/>
    <col min="20" max="20" width="10.42578125" style="78" hidden="1" customWidth="1"/>
    <col min="21" max="21" width="9.28515625" style="78" hidden="1" customWidth="1"/>
    <col min="22" max="23" width="7.85546875" style="78" hidden="1" customWidth="1"/>
    <col min="24" max="24" width="77" style="78" customWidth="1"/>
    <col min="25" max="16384" width="8.85546875" style="78"/>
  </cols>
  <sheetData>
    <row r="1" spans="1:24" ht="23.25" customHeight="1" thickBot="1">
      <c r="A1" s="529" t="s">
        <v>175</v>
      </c>
      <c r="B1" s="530"/>
      <c r="C1" s="392"/>
      <c r="D1" s="393" t="s">
        <v>176</v>
      </c>
      <c r="E1" s="518"/>
      <c r="F1" s="518"/>
      <c r="G1" s="394" t="s">
        <v>228</v>
      </c>
      <c r="H1" s="394"/>
      <c r="I1" s="395" t="s">
        <v>401</v>
      </c>
      <c r="J1" s="396"/>
      <c r="K1" s="456">
        <f>X1</f>
        <v>89.05</v>
      </c>
      <c r="L1" s="433"/>
      <c r="M1" s="434">
        <v>2</v>
      </c>
      <c r="N1" s="391"/>
      <c r="O1" s="391"/>
      <c r="P1" s="391"/>
      <c r="Q1" s="452"/>
      <c r="R1" s="391"/>
      <c r="S1" s="391"/>
      <c r="T1" s="391"/>
      <c r="U1" s="391"/>
      <c r="V1" s="391"/>
      <c r="W1" s="391"/>
      <c r="X1" s="455">
        <v>89.05</v>
      </c>
    </row>
    <row r="2" spans="1:24" ht="39.950000000000003" customHeight="1">
      <c r="A2" s="531"/>
      <c r="B2" s="526" t="s">
        <v>118</v>
      </c>
      <c r="C2" s="527"/>
      <c r="D2" s="527"/>
      <c r="E2" s="527"/>
      <c r="F2" s="527"/>
      <c r="G2" s="527"/>
      <c r="H2" s="527"/>
      <c r="I2" s="527"/>
      <c r="J2" s="528"/>
      <c r="K2" s="524" t="s">
        <v>304</v>
      </c>
      <c r="L2" s="509" t="s">
        <v>416</v>
      </c>
      <c r="M2" s="511" t="s">
        <v>146</v>
      </c>
      <c r="N2" s="533" t="s">
        <v>108</v>
      </c>
      <c r="O2" s="535" t="s">
        <v>109</v>
      </c>
      <c r="P2" s="515" t="s">
        <v>426</v>
      </c>
      <c r="Q2" s="517" t="s">
        <v>425</v>
      </c>
      <c r="R2" s="537" t="s">
        <v>127</v>
      </c>
      <c r="S2" s="541" t="s">
        <v>113</v>
      </c>
      <c r="T2" s="539" t="s">
        <v>126</v>
      </c>
      <c r="U2" s="519" t="s">
        <v>396</v>
      </c>
      <c r="V2" s="519" t="s">
        <v>240</v>
      </c>
      <c r="W2" s="507" t="s">
        <v>138</v>
      </c>
      <c r="X2" s="513" t="s">
        <v>147</v>
      </c>
    </row>
    <row r="3" spans="1:24" ht="59.1" customHeight="1">
      <c r="A3" s="532"/>
      <c r="B3" s="382" t="s">
        <v>119</v>
      </c>
      <c r="C3" s="383" t="s">
        <v>120</v>
      </c>
      <c r="D3" s="383" t="s">
        <v>134</v>
      </c>
      <c r="E3" s="383" t="s">
        <v>135</v>
      </c>
      <c r="F3" s="383" t="s">
        <v>136</v>
      </c>
      <c r="G3" s="383" t="s">
        <v>403</v>
      </c>
      <c r="H3" s="383" t="s">
        <v>419</v>
      </c>
      <c r="I3" s="383" t="s">
        <v>142</v>
      </c>
      <c r="J3" s="384" t="s">
        <v>392</v>
      </c>
      <c r="K3" s="525"/>
      <c r="L3" s="510"/>
      <c r="M3" s="512"/>
      <c r="N3" s="534"/>
      <c r="O3" s="536"/>
      <c r="P3" s="516"/>
      <c r="Q3" s="517"/>
      <c r="R3" s="538"/>
      <c r="S3" s="542"/>
      <c r="T3" s="540"/>
      <c r="U3" s="520"/>
      <c r="V3" s="520"/>
      <c r="W3" s="508"/>
      <c r="X3" s="514"/>
    </row>
    <row r="4" spans="1:24" ht="45" customHeight="1">
      <c r="A4" s="366">
        <v>1</v>
      </c>
      <c r="B4" s="368" t="s">
        <v>269</v>
      </c>
      <c r="C4" s="360"/>
      <c r="D4" s="369"/>
      <c r="E4" s="369"/>
      <c r="F4" s="369"/>
      <c r="G4" s="360"/>
      <c r="H4" s="436"/>
      <c r="I4" s="360"/>
      <c r="J4" s="370"/>
      <c r="K4" s="461" t="str">
        <f>IF(OR(B4="", C4="", D4=0, E4=0, F4=0), "Сделайте выбор",
 IF(OR(D4&lt;200, E4&lt;200), "Мин. размер 200х200!",
 IF(AND(G4&lt;&gt;"", ISNUMBER(SEARCH("VP", G4)), NOT(ISNUMBER(SEARCH("LT3", B4)))), "Трубки VP16 только для LT30/LT31!",
 IF(AND(J4&lt;&gt;"", NOT(ISNUMBER(SEARCH("Без полкодержателей", J4))), ISNUMBER(SEARCH("LT31", B4)), NOT(ISNUMBER(SEARCH("/", B4)))), "Полкодержатель не подходит для LT31!",
 IF(IF(ISNUMBER(SEARCH("/", B4)),
        MIN(
          COUNTIFS('LT10,30'!$A:$A, LEFT(B4, 4) &amp; "*", 'LT10,30'!$B:$B, C4),
          COUNTIFS('LT10,30'!$A:$A, LEFT(B4, 2) &amp; MID(B4, 6, 2) &amp; "*", 'LT10,30'!$B:$B, C4)
        ),
        COUNTIFS('LT10,30'!$A:$A, LEFT(B4, 4) &amp; "*", 'LT10,30'!$B:$B, C4)
      )=0, "Ошибка цвета!",
 IF(IF(ISNUMBER(SEARCH("/", B4)),
        MIN(
          SUMIFS('LT10,30'!$C:$C, 'LT10,30'!$A:$A, LEFT(B4, 4) &amp; "*", 'LT10,30'!$B:$B, C4),
          SUMIFS('LT10,30'!$C:$C, 'LT10,30'!$A:$A, LEFT(B4, 2) &amp; MID(B4, 6, 2) &amp; "*", 'LT10,30'!$B:$B, C4)
        ),
        SUMIFS('LT10,30'!$C:$C, 'LT10,30'!$A:$A, LEFT(B4, 4) &amp; "*", 'LT10,30'!$B:$B, C4)
      )=0, "Нет цены!",
 IF(AND(I4&lt;&gt;"", I4&lt;&gt;"без закалки", OR(ISNUMBER(SEARCH("VP", G4)), ISNUMBER(SEARCH("нельзя закаливать", IFERROR(INDEX(Данные!$E:$E, MATCH(G4, Данные!$B:$B, 0)), ""))))), "Это наполнение не закаливают!",
 "ОК")))))))</f>
        <v>Сделайте выбор</v>
      </c>
      <c r="L4" s="371">
        <f t="shared" ref="L4:L15" si="0">IF(K4&lt;&gt;"ОК",0,SUM(R4:W4)*$K$1)</f>
        <v>0</v>
      </c>
      <c r="M4" s="463">
        <f>(L4-L4*0.2)*$M$1</f>
        <v>0</v>
      </c>
      <c r="N4" s="372">
        <f>IF(K4&lt;&gt;"ОК", 0, (D4 + E4) * 2 * F4 / 1000)</f>
        <v>0</v>
      </c>
      <c r="O4" s="373">
        <f>IF(OR(K4&lt;&gt;"ОК", G4="", G4=Данные!$B$72, ISNUMBER(SEARCH("без", G4)), ISNUMBER(SEARCH("VP", G4))), 0, (D4 * E4 / 1000000) * F4)</f>
        <v>0</v>
      </c>
      <c r="P4" s="457">
        <f>(R4+S4)*$K$1</f>
        <v>0</v>
      </c>
      <c r="Q4" s="459">
        <f>T4*$K$1</f>
        <v>0</v>
      </c>
      <c r="R4" s="458">
        <f>IFERROR(IF(K4&lt;&gt;"ОК", 0, IF(B4="LT30/31", ((D4 + E4) * 2 / 1000) * F4 * SUMIFS('LT10,30'!$C:$C, 'LT10,30'!$A:$A, "LT30", 'LT10,30'!$B:$B, C4), IF(ISNUMBER(SEARCH("/", B4)), (((D4 + 2 * E4) / 1000) * F4 * SUMIFS('LT10,30'!$C:$C, 'LT10,30'!$A:$A, LEFT(B4, 4), 'LT10,30'!$B:$B, C4)) + ((D4 / 1000) * F4 * SUMIFS('LT10,30'!$C:$C, 'LT10,30'!$A:$A, LEFT(B4, 2) &amp; MID(B4, 6, 2), 'LT10,30'!$B:$B, C4)), ((D4 + E4) * 2 / 1000) * F4 * SUMIFS('LT10,30'!$C:$C, 'LT10,30'!$A:$A, LEFT(B4, 4), 'LT10,30'!$B:$B, C4)))), 0)</f>
        <v>0</v>
      </c>
      <c r="S4" s="374">
        <f>IFERROR(IF(K4&lt;&gt;"ОК", 0, F4 * IF(ISNUMBER(SEARCH("VP", G4)), INDEX('LT10,30'!$C:$C, MATCH("Сборка винных полок*", 'LT10,30'!$A:$A, 0)), IF(ISNUMBER(MATCH(B4, Данные!$B$119:$B$120, 0)), INDEX('LT10,30'!$C:$C, MATCH("Сборка световой полки LT10*", 'LT10,30'!$A:$A, 0)), IF(ISNUMBER(SEARCH("30/31", B4)), INDEX('LT10,30'!$C:$C, MATCH("Сборка световой полки LT30/31*", 'LT10,30'!$A:$A, 0)), IF(ISNUMBER(MATCH(B4, Данные!$B$121:$B$123, 0)), INDEX('LT10,30'!$C:$C, MATCH("Сборка световой полки LT30*", 'LT10,30'!$A:$A, 0)), 0))))), 0)</f>
        <v>0</v>
      </c>
      <c r="T4" s="375">
        <f>IF(OR(K4&lt;&gt;"ОК", G4="", G4=Данные!$B$72, ISNUMBER(SEARCH("без", G4))), 0, IF(ISNUMBER(SEARCH("VP", G4)), F4 * H4 * ((E4 / 1000) * SUMIF('LT10,30'!$A:$A, G4, 'LT10,30'!$C:$C) + 2), O4 * IF(SUMIFS(СТЕКЛО!$C:$C, СТЕКЛО!$A:$A, G4, СТЕКЛО!$B:$B, "4")&gt;0, SUMIFS(СТЕКЛО!$C:$C, СТЕКЛО!$A:$A, G4, СТЕКЛО!$B:$B, "4"), SUMIF(СТЕКЛО!$A:$A, G4, СТЕКЛО!$C:$C)) + IF(OR(ISNUMBER(SEARCH("30", B4)), ISNUMBER(SEARCH("31", B4)), ISNUMBER(SEARCH("11", B4))), F4 * ((D4 + E4) * 2 / 1000) * IFERROR(VLOOKUP("Полировка кромки стекла", СТЕКЛО!$A:$C, 3, FALSE), 1.42853), 0)))</f>
        <v>0</v>
      </c>
      <c r="U4" s="376">
        <f>IF(OR(K4&lt;&gt;"ОК", J4="", J4="Без полкодержателей", ISNUMBER(SEARCH("без", J4))), 0, 4 * F4 * SUMIF('LT10,30'!$A:$A, J4, 'LT10,30'!$C:$C))</f>
        <v>0</v>
      </c>
      <c r="V4" s="376">
        <v>0</v>
      </c>
      <c r="W4" s="377">
        <f>IF(AND(K4="ОК", I4&lt;&gt;"", I4&lt;&gt;"без закалки"), (O4 * SUMIFS(СТЕКЛО!$C:$C, СТЕКЛО!$A:$A, "Закалка стекла", СТЕКЛО!$B:$B, "4-6 мм")) + (N4 * IF(B4=Данные!$B$119, 2, 1) * SUMIFS(СТЕКЛО!$C:$C, СТЕКЛО!$A:$A, "Шлифовка кромки стекла", СТЕКЛО!$B:$B, "4 мм") * (1 + IF(AND(MIN(D4, E4)&gt;=30, MIN(D4, E4)&lt;=100), 1, 0) + IF(MAX(D4, E4)&gt;=2500, 1, 0))), 0)</f>
        <v>0</v>
      </c>
      <c r="X4" s="474"/>
    </row>
    <row r="5" spans="1:24" ht="45" customHeight="1">
      <c r="A5" s="366">
        <v>2</v>
      </c>
      <c r="B5" s="368"/>
      <c r="C5" s="360"/>
      <c r="D5" s="369"/>
      <c r="E5" s="369"/>
      <c r="F5" s="369"/>
      <c r="G5" s="360"/>
      <c r="H5" s="436"/>
      <c r="I5" s="360"/>
      <c r="J5" s="370"/>
      <c r="K5" s="461" t="str">
        <f>IF(OR(B5="", C5="", D5=0, E5=0, F5=0), "Сделайте выбор",
 IF(OR(D5&lt;200, E5&lt;200), "Мин. размер 200х200!",
 IF(AND(G5&lt;&gt;"", ISNUMBER(SEARCH("VP", G5)), NOT(ISNUMBER(SEARCH("LT3", B5)))), "Трубки VP16 только для LT30/LT31!",
 IF(AND(J5&lt;&gt;"", NOT(ISNUMBER(SEARCH("Без полкодержателей", J5))), ISNUMBER(SEARCH("LT31", B5)), NOT(ISNUMBER(SEARCH("/", B5)))), "Полкодержатель не подходит для LT31!",
 IF(IF(ISNUMBER(SEARCH("/", B5)),
        MIN(
          COUNTIFS('LT10,30'!$A:$A, LEFT(B5, 4) &amp; "*", 'LT10,30'!$B:$B, C5),
          COUNTIFS('LT10,30'!$A:$A, LEFT(B5, 2) &amp; MID(B5, 6, 2) &amp; "*", 'LT10,30'!$B:$B, C5)
        ),
        COUNTIFS('LT10,30'!$A:$A, LEFT(B5, 4) &amp; "*", 'LT10,30'!$B:$B, C5)
      )=0, "Ошибка цвета!",
 IF(IF(ISNUMBER(SEARCH("/", B5)),
        MIN(
          SUMIFS('LT10,30'!$C:$C, 'LT10,30'!$A:$A, LEFT(B5, 4) &amp; "*", 'LT10,30'!$B:$B, C5),
          SUMIFS('LT10,30'!$C:$C, 'LT10,30'!$A:$A, LEFT(B5, 2) &amp; MID(B5, 6, 2) &amp; "*", 'LT10,30'!$B:$B, C5)
        ),
        SUMIFS('LT10,30'!$C:$C, 'LT10,30'!$A:$A, LEFT(B5, 4) &amp; "*", 'LT10,30'!$B:$B, C5)
      )=0, "Нет цены!",
 IF(AND(I5&lt;&gt;"", I5&lt;&gt;"без закалки", OR(ISNUMBER(SEARCH("VP", G5)), ISNUMBER(SEARCH("нельзя закаливать", IFERROR(INDEX(Данные!$E:$E, MATCH(G5, Данные!$B:$B, 0)), ""))))), "Это наполнение не закаливают!",
 "ОК")))))))</f>
        <v>Сделайте выбор</v>
      </c>
      <c r="L5" s="371">
        <f t="shared" si="0"/>
        <v>0</v>
      </c>
      <c r="M5" s="463">
        <f t="shared" ref="M5:M15" si="1">(L5-L5*0.2)*$M$1</f>
        <v>0</v>
      </c>
      <c r="N5" s="372">
        <f t="shared" ref="N5:N15" si="2">IF(K5&lt;&gt;"ОК", 0, (D5 + E5) * 2 * F5 / 1000)</f>
        <v>0</v>
      </c>
      <c r="O5" s="373">
        <f>IF(OR(K5&lt;&gt;"ОК", G5="", G5=Данные!$B$72, ISNUMBER(SEARCH("без", G5)), ISNUMBER(SEARCH("VP", G5))), 0, (D5 * E5 / 1000000) * F5)</f>
        <v>0</v>
      </c>
      <c r="P5" s="457">
        <f t="shared" ref="P5:P15" si="3">(R5+S5)*$K$1</f>
        <v>0</v>
      </c>
      <c r="Q5" s="459">
        <f t="shared" ref="Q5:Q15" si="4">T5*$K$1</f>
        <v>0</v>
      </c>
      <c r="R5" s="458">
        <f>IFERROR(IF(K5&lt;&gt;"ОК", 0, IF(B5="LT30/31", ((D5 + E5) * 2 / 1000) * F5 * SUMIFS('LT10,30'!$C:$C, 'LT10,30'!$A:$A, "LT30", 'LT10,30'!$B:$B, C5), IF(ISNUMBER(SEARCH("/", B5)), (((D5 + 2 * E5) / 1000) * F5 * SUMIFS('LT10,30'!$C:$C, 'LT10,30'!$A:$A, LEFT(B5, 4), 'LT10,30'!$B:$B, C5)) + ((D5 / 1000) * F5 * SUMIFS('LT10,30'!$C:$C, 'LT10,30'!$A:$A, LEFT(B5, 2) &amp; MID(B5, 6, 2), 'LT10,30'!$B:$B, C5)), ((D5 + E5) * 2 / 1000) * F5 * SUMIFS('LT10,30'!$C:$C, 'LT10,30'!$A:$A, LEFT(B5, 4), 'LT10,30'!$B:$B, C5)))), 0)</f>
        <v>0</v>
      </c>
      <c r="S5" s="374">
        <f>IFERROR(IF(K5&lt;&gt;"ОК", 0, F5 * IF(ISNUMBER(SEARCH("VP", G5)), INDEX('LT10,30'!$C:$C, MATCH("Сборка винных полок*", 'LT10,30'!$A:$A, 0)), IF(ISNUMBER(MATCH(B5, Данные!$B$119:$B$120, 0)), INDEX('LT10,30'!$C:$C, MATCH("Сборка световой полки LT10*", 'LT10,30'!$A:$A, 0)), IF(ISNUMBER(SEARCH("30/31", B5)), INDEX('LT10,30'!$C:$C, MATCH("Сборка световой полки LT30/31*", 'LT10,30'!$A:$A, 0)), IF(ISNUMBER(MATCH(B5, Данные!$B$121:$B$123, 0)), INDEX('LT10,30'!$C:$C, MATCH("Сборка световой полки LT30*", 'LT10,30'!$A:$A, 0)), 0))))), 0)</f>
        <v>0</v>
      </c>
      <c r="T5" s="375">
        <f>IF(OR(K5&lt;&gt;"ОК", G5="", G5=Данные!$B$72, ISNUMBER(SEARCH("без", G5))), 0, IF(ISNUMBER(SEARCH("VP", G5)), F5 * H5 * ((E5 / 1000) * SUMIF('LT10,30'!$A:$A, G5, 'LT10,30'!$C:$C) + 2), O5 * IF(SUMIFS(СТЕКЛО!$C:$C, СТЕКЛО!$A:$A, G5, СТЕКЛО!$B:$B, "4")&gt;0, SUMIFS(СТЕКЛО!$C:$C, СТЕКЛО!$A:$A, G5, СТЕКЛО!$B:$B, "4"), SUMIF(СТЕКЛО!$A:$A, G5, СТЕКЛО!$C:$C)) + IF(OR(ISNUMBER(SEARCH("30", B5)), ISNUMBER(SEARCH("31", B5)), ISNUMBER(SEARCH("11", B5))), F5 * ((D5 + E5) * 2 / 1000) * IFERROR(VLOOKUP("Полировка кромки стекла", СТЕКЛО!$A:$C, 3, FALSE), 1.42853), 0)))</f>
        <v>0</v>
      </c>
      <c r="U5" s="376">
        <f>IF(OR(K5&lt;&gt;"ОК", J5="", J5="Без полкодержателей", ISNUMBER(SEARCH("без", J5))), 0, 4 * F5 * SUMIF('LT10,30'!$A:$A, J5, 'LT10,30'!$C:$C))</f>
        <v>0</v>
      </c>
      <c r="V5" s="376">
        <v>0</v>
      </c>
      <c r="W5" s="377">
        <f>IF(AND(K5="ОК", I5&lt;&gt;"", I5&lt;&gt;"без закалки"), (O5 * SUMIFS(СТЕКЛО!$C:$C, СТЕКЛО!$A:$A, "Закалка стекла", СТЕКЛО!$B:$B, "4-6 мм")) + (N5 * IF(B5=Данные!$B$119, 2, 1) * SUMIFS(СТЕКЛО!$C:$C, СТЕКЛО!$A:$A, "Шлифовка кромки стекла", СТЕКЛО!$B:$B, "4 мм") * (1 + IF(AND(MIN(D5, E5)&gt;=30, MIN(D5, E5)&lt;=100), 1, 0) + IF(MAX(D5, E5)&gt;=2500, 1, 0))), 0)</f>
        <v>0</v>
      </c>
      <c r="X5" s="474"/>
    </row>
    <row r="6" spans="1:24" ht="45" customHeight="1">
      <c r="A6" s="366">
        <v>3</v>
      </c>
      <c r="B6" s="368"/>
      <c r="C6" s="360"/>
      <c r="D6" s="369"/>
      <c r="E6" s="369"/>
      <c r="F6" s="369"/>
      <c r="G6" s="360"/>
      <c r="H6" s="436"/>
      <c r="I6" s="360"/>
      <c r="J6" s="370"/>
      <c r="K6" s="461" t="str">
        <f>IF(OR(B6="", C6="", D6=0, E6=0, F6=0), "Сделайте выбор",
 IF(OR(D6&lt;200, E6&lt;200), "Мин. размер 200х200!",
 IF(AND(G6&lt;&gt;"", ISNUMBER(SEARCH("VP", G6)), NOT(ISNUMBER(SEARCH("LT3", B6)))), "Трубки VP16 только для LT30/LT31!",
 IF(AND(J6&lt;&gt;"", NOT(ISNUMBER(SEARCH("Без полкодержателей", J6))), ISNUMBER(SEARCH("LT31", B6)), NOT(ISNUMBER(SEARCH("/", B6)))), "Полкодержатель не подходит для LT31!",
 IF(IF(ISNUMBER(SEARCH("/", B6)),
        MIN(
          COUNTIFS('LT10,30'!$A:$A, LEFT(B6, 4) &amp; "*", 'LT10,30'!$B:$B, C6),
          COUNTIFS('LT10,30'!$A:$A, LEFT(B6, 2) &amp; MID(B6, 6, 2) &amp; "*", 'LT10,30'!$B:$B, C6)
        ),
        COUNTIFS('LT10,30'!$A:$A, LEFT(B6, 4) &amp; "*", 'LT10,30'!$B:$B, C6)
      )=0, "Ошибка цвета!",
 IF(IF(ISNUMBER(SEARCH("/", B6)),
        MIN(
          SUMIFS('LT10,30'!$C:$C, 'LT10,30'!$A:$A, LEFT(B6, 4) &amp; "*", 'LT10,30'!$B:$B, C6),
          SUMIFS('LT10,30'!$C:$C, 'LT10,30'!$A:$A, LEFT(B6, 2) &amp; MID(B6, 6, 2) &amp; "*", 'LT10,30'!$B:$B, C6)
        ),
        SUMIFS('LT10,30'!$C:$C, 'LT10,30'!$A:$A, LEFT(B6, 4) &amp; "*", 'LT10,30'!$B:$B, C6)
      )=0, "Нет цены!",
 IF(AND(I6&lt;&gt;"", I6&lt;&gt;"без закалки", OR(ISNUMBER(SEARCH("VP", G6)), ISNUMBER(SEARCH("нельзя закаливать", IFERROR(INDEX(Данные!$E:$E, MATCH(G6, Данные!$B:$B, 0)), ""))))), "Это наполнение не закаливают!",
 "ОК")))))))</f>
        <v>Сделайте выбор</v>
      </c>
      <c r="L6" s="371">
        <f t="shared" si="0"/>
        <v>0</v>
      </c>
      <c r="M6" s="463">
        <f t="shared" si="1"/>
        <v>0</v>
      </c>
      <c r="N6" s="372">
        <f t="shared" si="2"/>
        <v>0</v>
      </c>
      <c r="O6" s="373">
        <f>IF(OR(K6&lt;&gt;"ОК", G6="", G6=Данные!$B$72, ISNUMBER(SEARCH("без", G6)), ISNUMBER(SEARCH("VP", G6))), 0, (D6 * E6 / 1000000) * F6)</f>
        <v>0</v>
      </c>
      <c r="P6" s="457">
        <f t="shared" si="3"/>
        <v>0</v>
      </c>
      <c r="Q6" s="459">
        <f t="shared" si="4"/>
        <v>0</v>
      </c>
      <c r="R6" s="458">
        <f>IFERROR(IF(K6&lt;&gt;"ОК", 0, IF(B6="LT30/31", ((D6 + E6) * 2 / 1000) * F6 * SUMIFS('LT10,30'!$C:$C, 'LT10,30'!$A:$A, "LT30", 'LT10,30'!$B:$B, C6), IF(ISNUMBER(SEARCH("/", B6)), (((D6 + 2 * E6) / 1000) * F6 * SUMIFS('LT10,30'!$C:$C, 'LT10,30'!$A:$A, LEFT(B6, 4), 'LT10,30'!$B:$B, C6)) + ((D6 / 1000) * F6 * SUMIFS('LT10,30'!$C:$C, 'LT10,30'!$A:$A, LEFT(B6, 2) &amp; MID(B6, 6, 2), 'LT10,30'!$B:$B, C6)), ((D6 + E6) * 2 / 1000) * F6 * SUMIFS('LT10,30'!$C:$C, 'LT10,30'!$A:$A, LEFT(B6, 4), 'LT10,30'!$B:$B, C6)))), 0)</f>
        <v>0</v>
      </c>
      <c r="S6" s="374">
        <f>IFERROR(IF(K6&lt;&gt;"ОК", 0, F6 * IF(ISNUMBER(SEARCH("VP", G6)), INDEX('LT10,30'!$C:$C, MATCH("Сборка винных полок*", 'LT10,30'!$A:$A, 0)), IF(ISNUMBER(MATCH(B6, Данные!$B$119:$B$120, 0)), INDEX('LT10,30'!$C:$C, MATCH("Сборка световой полки LT10*", 'LT10,30'!$A:$A, 0)), IF(ISNUMBER(SEARCH("30/31", B6)), INDEX('LT10,30'!$C:$C, MATCH("Сборка световой полки LT30/31*", 'LT10,30'!$A:$A, 0)), IF(ISNUMBER(MATCH(B6, Данные!$B$121:$B$123, 0)), INDEX('LT10,30'!$C:$C, MATCH("Сборка световой полки LT30*", 'LT10,30'!$A:$A, 0)), 0))))), 0)</f>
        <v>0</v>
      </c>
      <c r="T6" s="375">
        <f>IF(OR(K6&lt;&gt;"ОК", G6="", G6=Данные!$B$72, ISNUMBER(SEARCH("без", G6))), 0, IF(ISNUMBER(SEARCH("VP", G6)), F6 * H6 * ((E6 / 1000) * SUMIF('LT10,30'!$A:$A, G6, 'LT10,30'!$C:$C) + 2), O6 * IF(SUMIFS(СТЕКЛО!$C:$C, СТЕКЛО!$A:$A, G6, СТЕКЛО!$B:$B, "4")&gt;0, SUMIFS(СТЕКЛО!$C:$C, СТЕКЛО!$A:$A, G6, СТЕКЛО!$B:$B, "4"), SUMIF(СТЕКЛО!$A:$A, G6, СТЕКЛО!$C:$C)) + IF(OR(ISNUMBER(SEARCH("30", B6)), ISNUMBER(SEARCH("31", B6)), ISNUMBER(SEARCH("11", B6))), F6 * ((D6 + E6) * 2 / 1000) * IFERROR(VLOOKUP("Полировка кромки стекла", СТЕКЛО!$A:$C, 3, FALSE), 1.42853), 0)))</f>
        <v>0</v>
      </c>
      <c r="U6" s="376">
        <f>IF(OR(K6&lt;&gt;"ОК", J6="", J6="Без полкодержателей", ISNUMBER(SEARCH("без", J6))), 0, 4 * F6 * SUMIF('LT10,30'!$A:$A, J6, 'LT10,30'!$C:$C))</f>
        <v>0</v>
      </c>
      <c r="V6" s="376">
        <v>0</v>
      </c>
      <c r="W6" s="377">
        <f>IF(AND(K6="ОК", I6&lt;&gt;"", I6&lt;&gt;"без закалки"), (O6 * SUMIFS(СТЕКЛО!$C:$C, СТЕКЛО!$A:$A, "Закалка стекла", СТЕКЛО!$B:$B, "4-6 мм")) + (N6 * IF(B6=Данные!$B$119, 2, 1) * SUMIFS(СТЕКЛО!$C:$C, СТЕКЛО!$A:$A, "Шлифовка кромки стекла", СТЕКЛО!$B:$B, "4 мм") * (1 + IF(AND(MIN(D6, E6)&gt;=30, MIN(D6, E6)&lt;=100), 1, 0) + IF(MAX(D6, E6)&gt;=2500, 1, 0))), 0)</f>
        <v>0</v>
      </c>
      <c r="X6" s="474"/>
    </row>
    <row r="7" spans="1:24" ht="45" customHeight="1">
      <c r="A7" s="366">
        <v>4</v>
      </c>
      <c r="B7" s="368"/>
      <c r="C7" s="360"/>
      <c r="D7" s="369"/>
      <c r="E7" s="369"/>
      <c r="F7" s="369"/>
      <c r="G7" s="360"/>
      <c r="H7" s="436"/>
      <c r="I7" s="360"/>
      <c r="J7" s="370"/>
      <c r="K7" s="461" t="str">
        <f>IF(OR(B7="", C7="", D7=0, E7=0, F7=0), "Сделайте выбор",
 IF(OR(D7&lt;200, E7&lt;200), "Мин. размер 200х200!",
 IF(AND(G7&lt;&gt;"", ISNUMBER(SEARCH("VP", G7)), NOT(ISNUMBER(SEARCH("LT3", B7)))), "Трубки VP16 только для LT30/LT31!",
 IF(AND(J7&lt;&gt;"", NOT(ISNUMBER(SEARCH("Без полкодержателей", J7))), ISNUMBER(SEARCH("LT31", B7)), NOT(ISNUMBER(SEARCH("/", B7)))), "Полкодержатель не подходит для LT31!",
 IF(IF(ISNUMBER(SEARCH("/", B7)),
        MIN(
          COUNTIFS('LT10,30'!$A:$A, LEFT(B7, 4) &amp; "*", 'LT10,30'!$B:$B, C7),
          COUNTIFS('LT10,30'!$A:$A, LEFT(B7, 2) &amp; MID(B7, 6, 2) &amp; "*", 'LT10,30'!$B:$B, C7)
        ),
        COUNTIFS('LT10,30'!$A:$A, LEFT(B7, 4) &amp; "*", 'LT10,30'!$B:$B, C7)
      )=0, "Ошибка цвета!",
 IF(IF(ISNUMBER(SEARCH("/", B7)),
        MIN(
          SUMIFS('LT10,30'!$C:$C, 'LT10,30'!$A:$A, LEFT(B7, 4) &amp; "*", 'LT10,30'!$B:$B, C7),
          SUMIFS('LT10,30'!$C:$C, 'LT10,30'!$A:$A, LEFT(B7, 2) &amp; MID(B7, 6, 2) &amp; "*", 'LT10,30'!$B:$B, C7)
        ),
        SUMIFS('LT10,30'!$C:$C, 'LT10,30'!$A:$A, LEFT(B7, 4) &amp; "*", 'LT10,30'!$B:$B, C7)
      )=0, "Нет цены!",
 IF(AND(I7&lt;&gt;"", I7&lt;&gt;"без закалки", OR(ISNUMBER(SEARCH("VP", G7)), ISNUMBER(SEARCH("нельзя закаливать", IFERROR(INDEX(Данные!$E:$E, MATCH(G7, Данные!$B:$B, 0)), ""))))), "Это наполнение не закаливают!",
 "ОК")))))))</f>
        <v>Сделайте выбор</v>
      </c>
      <c r="L7" s="371">
        <f t="shared" si="0"/>
        <v>0</v>
      </c>
      <c r="M7" s="463">
        <f t="shared" si="1"/>
        <v>0</v>
      </c>
      <c r="N7" s="372">
        <f t="shared" si="2"/>
        <v>0</v>
      </c>
      <c r="O7" s="373">
        <f>IF(OR(K7&lt;&gt;"ОК", G7="", G7=Данные!$B$72, ISNUMBER(SEARCH("без", G7)), ISNUMBER(SEARCH("VP", G7))), 0, (D7 * E7 / 1000000) * F7)</f>
        <v>0</v>
      </c>
      <c r="P7" s="457">
        <f t="shared" si="3"/>
        <v>0</v>
      </c>
      <c r="Q7" s="459">
        <f t="shared" si="4"/>
        <v>0</v>
      </c>
      <c r="R7" s="458">
        <f>IFERROR(IF(K7&lt;&gt;"ОК", 0, IF(B7="LT30/31", ((D7 + E7) * 2 / 1000) * F7 * SUMIFS('LT10,30'!$C:$C, 'LT10,30'!$A:$A, "LT30", 'LT10,30'!$B:$B, C7), IF(ISNUMBER(SEARCH("/", B7)), (((D7 + 2 * E7) / 1000) * F7 * SUMIFS('LT10,30'!$C:$C, 'LT10,30'!$A:$A, LEFT(B7, 4), 'LT10,30'!$B:$B, C7)) + ((D7 / 1000) * F7 * SUMIFS('LT10,30'!$C:$C, 'LT10,30'!$A:$A, LEFT(B7, 2) &amp; MID(B7, 6, 2), 'LT10,30'!$B:$B, C7)), ((D7 + E7) * 2 / 1000) * F7 * SUMIFS('LT10,30'!$C:$C, 'LT10,30'!$A:$A, LEFT(B7, 4), 'LT10,30'!$B:$B, C7)))), 0)</f>
        <v>0</v>
      </c>
      <c r="S7" s="374">
        <f>IFERROR(IF(K7&lt;&gt;"ОК", 0, F7 * IF(ISNUMBER(SEARCH("VP", G7)), INDEX('LT10,30'!$C:$C, MATCH("Сборка винных полок*", 'LT10,30'!$A:$A, 0)), IF(ISNUMBER(MATCH(B7, Данные!$B$119:$B$120, 0)), INDEX('LT10,30'!$C:$C, MATCH("Сборка световой полки LT10*", 'LT10,30'!$A:$A, 0)), IF(ISNUMBER(SEARCH("30/31", B7)), INDEX('LT10,30'!$C:$C, MATCH("Сборка световой полки LT30/31*", 'LT10,30'!$A:$A, 0)), IF(ISNUMBER(MATCH(B7, Данные!$B$121:$B$123, 0)), INDEX('LT10,30'!$C:$C, MATCH("Сборка световой полки LT30*", 'LT10,30'!$A:$A, 0)), 0))))), 0)</f>
        <v>0</v>
      </c>
      <c r="T7" s="375">
        <f>IF(OR(K7&lt;&gt;"ОК", G7="", G7=Данные!$B$72, ISNUMBER(SEARCH("без", G7))), 0, IF(ISNUMBER(SEARCH("VP", G7)), F7 * H7 * ((E7 / 1000) * SUMIF('LT10,30'!$A:$A, G7, 'LT10,30'!$C:$C) + 2), O7 * IF(SUMIFS(СТЕКЛО!$C:$C, СТЕКЛО!$A:$A, G7, СТЕКЛО!$B:$B, "4")&gt;0, SUMIFS(СТЕКЛО!$C:$C, СТЕКЛО!$A:$A, G7, СТЕКЛО!$B:$B, "4"), SUMIF(СТЕКЛО!$A:$A, G7, СТЕКЛО!$C:$C)) + IF(OR(ISNUMBER(SEARCH("30", B7)), ISNUMBER(SEARCH("31", B7)), ISNUMBER(SEARCH("11", B7))), F7 * ((D7 + E7) * 2 / 1000) * IFERROR(VLOOKUP("Полировка кромки стекла", СТЕКЛО!$A:$C, 3, FALSE), 1.42853), 0)))</f>
        <v>0</v>
      </c>
      <c r="U7" s="376">
        <f>IF(OR(K7&lt;&gt;"ОК", J7="", J7="Без полкодержателей", ISNUMBER(SEARCH("без", J7))), 0, 4 * F7 * SUMIF('LT10,30'!$A:$A, J7, 'LT10,30'!$C:$C))</f>
        <v>0</v>
      </c>
      <c r="V7" s="376">
        <v>0</v>
      </c>
      <c r="W7" s="377">
        <f>IF(AND(K7="ОК", I7&lt;&gt;"", I7&lt;&gt;"без закалки"), (O7 * SUMIFS(СТЕКЛО!$C:$C, СТЕКЛО!$A:$A, "Закалка стекла", СТЕКЛО!$B:$B, "4-6 мм")) + (N7 * IF(B7=Данные!$B$119, 2, 1) * SUMIFS(СТЕКЛО!$C:$C, СТЕКЛО!$A:$A, "Шлифовка кромки стекла", СТЕКЛО!$B:$B, "4 мм") * (1 + IF(AND(MIN(D7, E7)&gt;=30, MIN(D7, E7)&lt;=100), 1, 0) + IF(MAX(D7, E7)&gt;=2500, 1, 0))), 0)</f>
        <v>0</v>
      </c>
      <c r="X7" s="474"/>
    </row>
    <row r="8" spans="1:24" ht="45" customHeight="1">
      <c r="A8" s="366">
        <v>5</v>
      </c>
      <c r="B8" s="368"/>
      <c r="C8" s="360"/>
      <c r="D8" s="369"/>
      <c r="E8" s="369"/>
      <c r="F8" s="369"/>
      <c r="G8" s="360"/>
      <c r="H8" s="436"/>
      <c r="I8" s="360"/>
      <c r="J8" s="370"/>
      <c r="K8" s="461" t="str">
        <f>IF(OR(B8="", C8="", D8=0, E8=0, F8=0), "Сделайте выбор",
 IF(OR(D8&lt;200, E8&lt;200), "Мин. размер 200х200!",
 IF(AND(G8&lt;&gt;"", ISNUMBER(SEARCH("VP", G8)), NOT(ISNUMBER(SEARCH("LT3", B8)))), "Трубки VP16 только для LT30/LT31!",
 IF(AND(J8&lt;&gt;"", NOT(ISNUMBER(SEARCH("Без полкодержателей", J8))), ISNUMBER(SEARCH("LT31", B8)), NOT(ISNUMBER(SEARCH("/", B8)))), "Полкодержатель не подходит для LT31!",
 IF(IF(ISNUMBER(SEARCH("/", B8)),
        MIN(
          COUNTIFS('LT10,30'!$A:$A, LEFT(B8, 4) &amp; "*", 'LT10,30'!$B:$B, C8),
          COUNTIFS('LT10,30'!$A:$A, LEFT(B8, 2) &amp; MID(B8, 6, 2) &amp; "*", 'LT10,30'!$B:$B, C8)
        ),
        COUNTIFS('LT10,30'!$A:$A, LEFT(B8, 4) &amp; "*", 'LT10,30'!$B:$B, C8)
      )=0, "Ошибка цвета!",
 IF(IF(ISNUMBER(SEARCH("/", B8)),
        MIN(
          SUMIFS('LT10,30'!$C:$C, 'LT10,30'!$A:$A, LEFT(B8, 4) &amp; "*", 'LT10,30'!$B:$B, C8),
          SUMIFS('LT10,30'!$C:$C, 'LT10,30'!$A:$A, LEFT(B8, 2) &amp; MID(B8, 6, 2) &amp; "*", 'LT10,30'!$B:$B, C8)
        ),
        SUMIFS('LT10,30'!$C:$C, 'LT10,30'!$A:$A, LEFT(B8, 4) &amp; "*", 'LT10,30'!$B:$B, C8)
      )=0, "Нет цены!",
 IF(AND(I8&lt;&gt;"", I8&lt;&gt;"без закалки", OR(ISNUMBER(SEARCH("VP", G8)), ISNUMBER(SEARCH("нельзя закаливать", IFERROR(INDEX(Данные!$E:$E, MATCH(G8, Данные!$B:$B, 0)), ""))))), "Это наполнение не закаливают!",
 "ОК")))))))</f>
        <v>Сделайте выбор</v>
      </c>
      <c r="L8" s="371">
        <f t="shared" si="0"/>
        <v>0</v>
      </c>
      <c r="M8" s="463">
        <f t="shared" si="1"/>
        <v>0</v>
      </c>
      <c r="N8" s="372">
        <f t="shared" si="2"/>
        <v>0</v>
      </c>
      <c r="O8" s="373">
        <f>IF(OR(K8&lt;&gt;"ОК", G8="", G8=Данные!$B$72, ISNUMBER(SEARCH("без", G8)), ISNUMBER(SEARCH("VP", G8))), 0, (D8 * E8 / 1000000) * F8)</f>
        <v>0</v>
      </c>
      <c r="P8" s="457">
        <f t="shared" si="3"/>
        <v>0</v>
      </c>
      <c r="Q8" s="459">
        <f t="shared" si="4"/>
        <v>0</v>
      </c>
      <c r="R8" s="458">
        <f>IFERROR(IF(K8&lt;&gt;"ОК", 0, IF(B8="LT30/31", ((D8 + E8) * 2 / 1000) * F8 * SUMIFS('LT10,30'!$C:$C, 'LT10,30'!$A:$A, "LT30", 'LT10,30'!$B:$B, C8), IF(ISNUMBER(SEARCH("/", B8)), (((D8 + 2 * E8) / 1000) * F8 * SUMIFS('LT10,30'!$C:$C, 'LT10,30'!$A:$A, LEFT(B8, 4), 'LT10,30'!$B:$B, C8)) + ((D8 / 1000) * F8 * SUMIFS('LT10,30'!$C:$C, 'LT10,30'!$A:$A, LEFT(B8, 2) &amp; MID(B8, 6, 2), 'LT10,30'!$B:$B, C8)), ((D8 + E8) * 2 / 1000) * F8 * SUMIFS('LT10,30'!$C:$C, 'LT10,30'!$A:$A, LEFT(B8, 4), 'LT10,30'!$B:$B, C8)))), 0)</f>
        <v>0</v>
      </c>
      <c r="S8" s="374">
        <f>IFERROR(IF(K8&lt;&gt;"ОК", 0, F8 * IF(ISNUMBER(SEARCH("VP", G8)), INDEX('LT10,30'!$C:$C, MATCH("Сборка винных полок*", 'LT10,30'!$A:$A, 0)), IF(ISNUMBER(MATCH(B8, Данные!$B$119:$B$120, 0)), INDEX('LT10,30'!$C:$C, MATCH("Сборка световой полки LT10*", 'LT10,30'!$A:$A, 0)), IF(ISNUMBER(SEARCH("30/31", B8)), INDEX('LT10,30'!$C:$C, MATCH("Сборка световой полки LT30/31*", 'LT10,30'!$A:$A, 0)), IF(ISNUMBER(MATCH(B8, Данные!$B$121:$B$123, 0)), INDEX('LT10,30'!$C:$C, MATCH("Сборка световой полки LT30*", 'LT10,30'!$A:$A, 0)), 0))))), 0)</f>
        <v>0</v>
      </c>
      <c r="T8" s="375">
        <f>IF(OR(K8&lt;&gt;"ОК", G8="", G8=Данные!$B$72, ISNUMBER(SEARCH("без", G8))), 0, IF(ISNUMBER(SEARCH("VP", G8)), F8 * H8 * ((E8 / 1000) * SUMIF('LT10,30'!$A:$A, G8, 'LT10,30'!$C:$C) + 2), O8 * IF(SUMIFS(СТЕКЛО!$C:$C, СТЕКЛО!$A:$A, G8, СТЕКЛО!$B:$B, "4")&gt;0, SUMIFS(СТЕКЛО!$C:$C, СТЕКЛО!$A:$A, G8, СТЕКЛО!$B:$B, "4"), SUMIF(СТЕКЛО!$A:$A, G8, СТЕКЛО!$C:$C)) + IF(OR(ISNUMBER(SEARCH("30", B8)), ISNUMBER(SEARCH("31", B8)), ISNUMBER(SEARCH("11", B8))), F8 * ((D8 + E8) * 2 / 1000) * IFERROR(VLOOKUP("Полировка кромки стекла", СТЕКЛО!$A:$C, 3, FALSE), 1.42853), 0)))</f>
        <v>0</v>
      </c>
      <c r="U8" s="376">
        <f>IF(OR(K8&lt;&gt;"ОК", J8="", J8="Без полкодержателей", ISNUMBER(SEARCH("без", J8))), 0, 4 * F8 * SUMIF('LT10,30'!$A:$A, J8, 'LT10,30'!$C:$C))</f>
        <v>0</v>
      </c>
      <c r="V8" s="376">
        <v>0</v>
      </c>
      <c r="W8" s="377">
        <f>IF(AND(K8="ОК", I8&lt;&gt;"", I8&lt;&gt;"без закалки"), (O8 * SUMIFS(СТЕКЛО!$C:$C, СТЕКЛО!$A:$A, "Закалка стекла", СТЕКЛО!$B:$B, "4-6 мм")) + (N8 * IF(B8=Данные!$B$119, 2, 1) * SUMIFS(СТЕКЛО!$C:$C, СТЕКЛО!$A:$A, "Шлифовка кромки стекла", СТЕКЛО!$B:$B, "4 мм") * (1 + IF(AND(MIN(D8, E8)&gt;=30, MIN(D8, E8)&lt;=100), 1, 0) + IF(MAX(D8, E8)&gt;=2500, 1, 0))), 0)</f>
        <v>0</v>
      </c>
      <c r="X8" s="474"/>
    </row>
    <row r="9" spans="1:24" ht="45" customHeight="1">
      <c r="A9" s="366">
        <v>6</v>
      </c>
      <c r="B9" s="368"/>
      <c r="C9" s="360"/>
      <c r="D9" s="369"/>
      <c r="E9" s="369"/>
      <c r="F9" s="369"/>
      <c r="G9" s="360"/>
      <c r="H9" s="436"/>
      <c r="I9" s="360"/>
      <c r="J9" s="370"/>
      <c r="K9" s="461" t="str">
        <f>IF(OR(B9="", C9="", D9=0, E9=0, F9=0), "Сделайте выбор",
 IF(OR(D9&lt;200, E9&lt;200), "Мин. размер 200х200!",
 IF(AND(G9&lt;&gt;"", ISNUMBER(SEARCH("VP", G9)), NOT(ISNUMBER(SEARCH("LT3", B9)))), "Трубки VP16 только для LT30/LT31!",
 IF(AND(J9&lt;&gt;"", NOT(ISNUMBER(SEARCH("Без полкодержателей", J9))), ISNUMBER(SEARCH("LT31", B9)), NOT(ISNUMBER(SEARCH("/", B9)))), "Полкодержатель не подходит для LT31!",
 IF(IF(ISNUMBER(SEARCH("/", B9)),
        MIN(
          COUNTIFS('LT10,30'!$A:$A, LEFT(B9, 4) &amp; "*", 'LT10,30'!$B:$B, C9),
          COUNTIFS('LT10,30'!$A:$A, LEFT(B9, 2) &amp; MID(B9, 6, 2) &amp; "*", 'LT10,30'!$B:$B, C9)
        ),
        COUNTIFS('LT10,30'!$A:$A, LEFT(B9, 4) &amp; "*", 'LT10,30'!$B:$B, C9)
      )=0, "Ошибка цвета!",
 IF(IF(ISNUMBER(SEARCH("/", B9)),
        MIN(
          SUMIFS('LT10,30'!$C:$C, 'LT10,30'!$A:$A, LEFT(B9, 4) &amp; "*", 'LT10,30'!$B:$B, C9),
          SUMIFS('LT10,30'!$C:$C, 'LT10,30'!$A:$A, LEFT(B9, 2) &amp; MID(B9, 6, 2) &amp; "*", 'LT10,30'!$B:$B, C9)
        ),
        SUMIFS('LT10,30'!$C:$C, 'LT10,30'!$A:$A, LEFT(B9, 4) &amp; "*", 'LT10,30'!$B:$B, C9)
      )=0, "Нет цены!",
 IF(AND(I9&lt;&gt;"", I9&lt;&gt;"без закалки", OR(ISNUMBER(SEARCH("VP", G9)), ISNUMBER(SEARCH("нельзя закаливать", IFERROR(INDEX(Данные!$E:$E, MATCH(G9, Данные!$B:$B, 0)), ""))))), "Это наполнение не закаливают!",
 "ОК")))))))</f>
        <v>Сделайте выбор</v>
      </c>
      <c r="L9" s="371">
        <f t="shared" si="0"/>
        <v>0</v>
      </c>
      <c r="M9" s="463">
        <f t="shared" si="1"/>
        <v>0</v>
      </c>
      <c r="N9" s="372">
        <f t="shared" si="2"/>
        <v>0</v>
      </c>
      <c r="O9" s="373">
        <f>IF(OR(K9&lt;&gt;"ОК", G9="", G9=Данные!$B$72, ISNUMBER(SEARCH("без", G9)), ISNUMBER(SEARCH("VP", G9))), 0, (D9 * E9 / 1000000) * F9)</f>
        <v>0</v>
      </c>
      <c r="P9" s="457">
        <f t="shared" si="3"/>
        <v>0</v>
      </c>
      <c r="Q9" s="459">
        <f t="shared" si="4"/>
        <v>0</v>
      </c>
      <c r="R9" s="458">
        <f>IFERROR(IF(K9&lt;&gt;"ОК", 0, IF(B9="LT30/31", ((D9 + E9) * 2 / 1000) * F9 * SUMIFS('LT10,30'!$C:$C, 'LT10,30'!$A:$A, "LT30", 'LT10,30'!$B:$B, C9), IF(ISNUMBER(SEARCH("/", B9)), (((D9 + 2 * E9) / 1000) * F9 * SUMIFS('LT10,30'!$C:$C, 'LT10,30'!$A:$A, LEFT(B9, 4), 'LT10,30'!$B:$B, C9)) + ((D9 / 1000) * F9 * SUMIFS('LT10,30'!$C:$C, 'LT10,30'!$A:$A, LEFT(B9, 2) &amp; MID(B9, 6, 2), 'LT10,30'!$B:$B, C9)), ((D9 + E9) * 2 / 1000) * F9 * SUMIFS('LT10,30'!$C:$C, 'LT10,30'!$A:$A, LEFT(B9, 4), 'LT10,30'!$B:$B, C9)))), 0)</f>
        <v>0</v>
      </c>
      <c r="S9" s="374">
        <f>IFERROR(IF(K9&lt;&gt;"ОК", 0, F9 * IF(ISNUMBER(SEARCH("VP", G9)), INDEX('LT10,30'!$C:$C, MATCH("Сборка винных полок*", 'LT10,30'!$A:$A, 0)), IF(ISNUMBER(MATCH(B9, Данные!$B$119:$B$120, 0)), INDEX('LT10,30'!$C:$C, MATCH("Сборка световой полки LT10*", 'LT10,30'!$A:$A, 0)), IF(ISNUMBER(SEARCH("30/31", B9)), INDEX('LT10,30'!$C:$C, MATCH("Сборка световой полки LT30/31*", 'LT10,30'!$A:$A, 0)), IF(ISNUMBER(MATCH(B9, Данные!$B$121:$B$123, 0)), INDEX('LT10,30'!$C:$C, MATCH("Сборка световой полки LT30*", 'LT10,30'!$A:$A, 0)), 0))))), 0)</f>
        <v>0</v>
      </c>
      <c r="T9" s="375">
        <f>IF(OR(K9&lt;&gt;"ОК", G9="", G9=Данные!$B$72, ISNUMBER(SEARCH("без", G9))), 0, IF(ISNUMBER(SEARCH("VP", G9)), F9 * H9 * ((E9 / 1000) * SUMIF('LT10,30'!$A:$A, G9, 'LT10,30'!$C:$C) + 2), O9 * IF(SUMIFS(СТЕКЛО!$C:$C, СТЕКЛО!$A:$A, G9, СТЕКЛО!$B:$B, "4")&gt;0, SUMIFS(СТЕКЛО!$C:$C, СТЕКЛО!$A:$A, G9, СТЕКЛО!$B:$B, "4"), SUMIF(СТЕКЛО!$A:$A, G9, СТЕКЛО!$C:$C)) + IF(OR(ISNUMBER(SEARCH("30", B9)), ISNUMBER(SEARCH("31", B9)), ISNUMBER(SEARCH("11", B9))), F9 * ((D9 + E9) * 2 / 1000) * IFERROR(VLOOKUP("Полировка кромки стекла", СТЕКЛО!$A:$C, 3, FALSE), 1.42853), 0)))</f>
        <v>0</v>
      </c>
      <c r="U9" s="376">
        <f>IF(OR(K9&lt;&gt;"ОК", J9="", J9="Без полкодержателей", ISNUMBER(SEARCH("без", J9))), 0, 4 * F9 * SUMIF('LT10,30'!$A:$A, J9, 'LT10,30'!$C:$C))</f>
        <v>0</v>
      </c>
      <c r="V9" s="376">
        <v>0</v>
      </c>
      <c r="W9" s="377">
        <f>IF(AND(K9="ОК", I9&lt;&gt;"", I9&lt;&gt;"без закалки"), (O9 * SUMIFS(СТЕКЛО!$C:$C, СТЕКЛО!$A:$A, "Закалка стекла", СТЕКЛО!$B:$B, "4-6 мм")) + (N9 * IF(B9=Данные!$B$119, 2, 1) * SUMIFS(СТЕКЛО!$C:$C, СТЕКЛО!$A:$A, "Шлифовка кромки стекла", СТЕКЛО!$B:$B, "4 мм") * (1 + IF(AND(MIN(D9, E9)&gt;=30, MIN(D9, E9)&lt;=100), 1, 0) + IF(MAX(D9, E9)&gt;=2500, 1, 0))), 0)</f>
        <v>0</v>
      </c>
      <c r="X9" s="475"/>
    </row>
    <row r="10" spans="1:24" ht="45" customHeight="1">
      <c r="A10" s="366">
        <v>7</v>
      </c>
      <c r="B10" s="368"/>
      <c r="C10" s="360"/>
      <c r="D10" s="369"/>
      <c r="E10" s="369"/>
      <c r="F10" s="369"/>
      <c r="G10" s="360"/>
      <c r="H10" s="436"/>
      <c r="I10" s="360"/>
      <c r="J10" s="370"/>
      <c r="K10" s="461" t="str">
        <f>IF(OR(B10="", C10="", D10=0, E10=0, F10=0), "Сделайте выбор",
 IF(OR(D10&lt;200, E10&lt;200), "Мин. размер 200х200!",
 IF(AND(G10&lt;&gt;"", ISNUMBER(SEARCH("VP", G10)), NOT(ISNUMBER(SEARCH("LT3", B10)))), "Трубки VP16 только для LT30/LT31!",
 IF(AND(J10&lt;&gt;"", NOT(ISNUMBER(SEARCH("Без полкодержателей", J10))), ISNUMBER(SEARCH("LT31", B10)), NOT(ISNUMBER(SEARCH("/", B10)))), "Полкодержатель не подходит для LT31!",
 IF(IF(ISNUMBER(SEARCH("/", B10)),
        MIN(
          COUNTIFS('LT10,30'!$A:$A, LEFT(B10, 4) &amp; "*", 'LT10,30'!$B:$B, C10),
          COUNTIFS('LT10,30'!$A:$A, LEFT(B10, 2) &amp; MID(B10, 6, 2) &amp; "*", 'LT10,30'!$B:$B, C10)
        ),
        COUNTIFS('LT10,30'!$A:$A, LEFT(B10, 4) &amp; "*", 'LT10,30'!$B:$B, C10)
      )=0, "Ошибка цвета!",
 IF(IF(ISNUMBER(SEARCH("/", B10)),
        MIN(
          SUMIFS('LT10,30'!$C:$C, 'LT10,30'!$A:$A, LEFT(B10, 4) &amp; "*", 'LT10,30'!$B:$B, C10),
          SUMIFS('LT10,30'!$C:$C, 'LT10,30'!$A:$A, LEFT(B10, 2) &amp; MID(B10, 6, 2) &amp; "*", 'LT10,30'!$B:$B, C10)
        ),
        SUMIFS('LT10,30'!$C:$C, 'LT10,30'!$A:$A, LEFT(B10, 4) &amp; "*", 'LT10,30'!$B:$B, C10)
      )=0, "Нет цены!",
 IF(AND(I10&lt;&gt;"", I10&lt;&gt;"без закалки", OR(ISNUMBER(SEARCH("VP", G10)), ISNUMBER(SEARCH("нельзя закаливать", IFERROR(INDEX(Данные!$E:$E, MATCH(G10, Данные!$B:$B, 0)), ""))))), "Это наполнение не закаливают!",
 "ОК")))))))</f>
        <v>Сделайте выбор</v>
      </c>
      <c r="L10" s="371">
        <f t="shared" si="0"/>
        <v>0</v>
      </c>
      <c r="M10" s="463">
        <f t="shared" si="1"/>
        <v>0</v>
      </c>
      <c r="N10" s="372">
        <f t="shared" si="2"/>
        <v>0</v>
      </c>
      <c r="O10" s="373">
        <f>IF(OR(K10&lt;&gt;"ОК", G10="", G10=Данные!$B$72, ISNUMBER(SEARCH("без", G10)), ISNUMBER(SEARCH("VP", G10))), 0, (D10 * E10 / 1000000) * F10)</f>
        <v>0</v>
      </c>
      <c r="P10" s="457">
        <f t="shared" si="3"/>
        <v>0</v>
      </c>
      <c r="Q10" s="459">
        <f t="shared" si="4"/>
        <v>0</v>
      </c>
      <c r="R10" s="458">
        <f>IFERROR(IF(K10&lt;&gt;"ОК", 0, IF(B10="LT30/31", ((D10 + E10) * 2 / 1000) * F10 * SUMIFS('LT10,30'!$C:$C, 'LT10,30'!$A:$A, "LT30", 'LT10,30'!$B:$B, C10), IF(ISNUMBER(SEARCH("/", B10)), (((D10 + 2 * E10) / 1000) * F10 * SUMIFS('LT10,30'!$C:$C, 'LT10,30'!$A:$A, LEFT(B10, 4), 'LT10,30'!$B:$B, C10)) + ((D10 / 1000) * F10 * SUMIFS('LT10,30'!$C:$C, 'LT10,30'!$A:$A, LEFT(B10, 2) &amp; MID(B10, 6, 2), 'LT10,30'!$B:$B, C10)), ((D10 + E10) * 2 / 1000) * F10 * SUMIFS('LT10,30'!$C:$C, 'LT10,30'!$A:$A, LEFT(B10, 4), 'LT10,30'!$B:$B, C10)))), 0)</f>
        <v>0</v>
      </c>
      <c r="S10" s="374">
        <f>IFERROR(IF(K10&lt;&gt;"ОК", 0, F10 * IF(ISNUMBER(SEARCH("VP", G10)), INDEX('LT10,30'!$C:$C, MATCH("Сборка винных полок*", 'LT10,30'!$A:$A, 0)), IF(ISNUMBER(MATCH(B10, Данные!$B$119:$B$120, 0)), INDEX('LT10,30'!$C:$C, MATCH("Сборка световой полки LT10*", 'LT10,30'!$A:$A, 0)), IF(ISNUMBER(SEARCH("30/31", B10)), INDEX('LT10,30'!$C:$C, MATCH("Сборка световой полки LT30/31*", 'LT10,30'!$A:$A, 0)), IF(ISNUMBER(MATCH(B10, Данные!$B$121:$B$123, 0)), INDEX('LT10,30'!$C:$C, MATCH("Сборка световой полки LT30*", 'LT10,30'!$A:$A, 0)), 0))))), 0)</f>
        <v>0</v>
      </c>
      <c r="T10" s="375">
        <f>IF(OR(K10&lt;&gt;"ОК", G10="", G10=Данные!$B$72, ISNUMBER(SEARCH("без", G10))), 0, IF(ISNUMBER(SEARCH("VP", G10)), F10 * H10 * ((E10 / 1000) * SUMIF('LT10,30'!$A:$A, G10, 'LT10,30'!$C:$C) + 2), O10 * IF(SUMIFS(СТЕКЛО!$C:$C, СТЕКЛО!$A:$A, G10, СТЕКЛО!$B:$B, "4")&gt;0, SUMIFS(СТЕКЛО!$C:$C, СТЕКЛО!$A:$A, G10, СТЕКЛО!$B:$B, "4"), SUMIF(СТЕКЛО!$A:$A, G10, СТЕКЛО!$C:$C)) + IF(OR(ISNUMBER(SEARCH("30", B10)), ISNUMBER(SEARCH("31", B10)), ISNUMBER(SEARCH("11", B10))), F10 * ((D10 + E10) * 2 / 1000) * IFERROR(VLOOKUP("Полировка кромки стекла", СТЕКЛО!$A:$C, 3, FALSE), 1.42853), 0)))</f>
        <v>0</v>
      </c>
      <c r="U10" s="376">
        <f>IF(OR(K10&lt;&gt;"ОК", J10="", J10="Без полкодержателей", ISNUMBER(SEARCH("без", J10))), 0, 4 * F10 * SUMIF('LT10,30'!$A:$A, J10, 'LT10,30'!$C:$C))</f>
        <v>0</v>
      </c>
      <c r="V10" s="376">
        <v>0</v>
      </c>
      <c r="W10" s="377">
        <f>IF(AND(K10="ОК", I10&lt;&gt;"", I10&lt;&gt;"без закалки"), (O10 * SUMIFS(СТЕКЛО!$C:$C, СТЕКЛО!$A:$A, "Закалка стекла", СТЕКЛО!$B:$B, "4-6 мм")) + (N10 * IF(B10=Данные!$B$119, 2, 1) * SUMIFS(СТЕКЛО!$C:$C, СТЕКЛО!$A:$A, "Шлифовка кромки стекла", СТЕКЛО!$B:$B, "4 мм") * (1 + IF(AND(MIN(D10, E10)&gt;=30, MIN(D10, E10)&lt;=100), 1, 0) + IF(MAX(D10, E10)&gt;=2500, 1, 0))), 0)</f>
        <v>0</v>
      </c>
      <c r="X10" s="475"/>
    </row>
    <row r="11" spans="1:24" ht="45" customHeight="1">
      <c r="A11" s="366">
        <v>8</v>
      </c>
      <c r="B11" s="368"/>
      <c r="C11" s="360"/>
      <c r="D11" s="369"/>
      <c r="E11" s="369"/>
      <c r="F11" s="369"/>
      <c r="G11" s="360"/>
      <c r="H11" s="436"/>
      <c r="I11" s="360"/>
      <c r="J11" s="370"/>
      <c r="K11" s="461" t="str">
        <f>IF(OR(B11="", C11="", D11=0, E11=0, F11=0), "Сделайте выбор",
 IF(OR(D11&lt;200, E11&lt;200), "Мин. размер 200х200!",
 IF(AND(G11&lt;&gt;"", ISNUMBER(SEARCH("VP", G11)), NOT(ISNUMBER(SEARCH("LT3", B11)))), "Трубки VP16 только для LT30/LT31!",
 IF(AND(J11&lt;&gt;"", NOT(ISNUMBER(SEARCH("Без полкодержателей", J11))), ISNUMBER(SEARCH("LT31", B11)), NOT(ISNUMBER(SEARCH("/", B11)))), "Полкодержатель не подходит для LT31!",
 IF(IF(ISNUMBER(SEARCH("/", B11)),
        MIN(
          COUNTIFS('LT10,30'!$A:$A, LEFT(B11, 4) &amp; "*", 'LT10,30'!$B:$B, C11),
          COUNTIFS('LT10,30'!$A:$A, LEFT(B11, 2) &amp; MID(B11, 6, 2) &amp; "*", 'LT10,30'!$B:$B, C11)
        ),
        COUNTIFS('LT10,30'!$A:$A, LEFT(B11, 4) &amp; "*", 'LT10,30'!$B:$B, C11)
      )=0, "Ошибка цвета!",
 IF(IF(ISNUMBER(SEARCH("/", B11)),
        MIN(
          SUMIFS('LT10,30'!$C:$C, 'LT10,30'!$A:$A, LEFT(B11, 4) &amp; "*", 'LT10,30'!$B:$B, C11),
          SUMIFS('LT10,30'!$C:$C, 'LT10,30'!$A:$A, LEFT(B11, 2) &amp; MID(B11, 6, 2) &amp; "*", 'LT10,30'!$B:$B, C11)
        ),
        SUMIFS('LT10,30'!$C:$C, 'LT10,30'!$A:$A, LEFT(B11, 4) &amp; "*", 'LT10,30'!$B:$B, C11)
      )=0, "Нет цены!",
 IF(AND(I11&lt;&gt;"", I11&lt;&gt;"без закалки", OR(ISNUMBER(SEARCH("VP", G11)), ISNUMBER(SEARCH("нельзя закаливать", IFERROR(INDEX(Данные!$E:$E, MATCH(G11, Данные!$B:$B, 0)), ""))))), "Это наполнение не закаливают!",
 "ОК")))))))</f>
        <v>Сделайте выбор</v>
      </c>
      <c r="L11" s="371">
        <f t="shared" si="0"/>
        <v>0</v>
      </c>
      <c r="M11" s="463">
        <f t="shared" si="1"/>
        <v>0</v>
      </c>
      <c r="N11" s="372">
        <f t="shared" si="2"/>
        <v>0</v>
      </c>
      <c r="O11" s="373">
        <f>IF(OR(K11&lt;&gt;"ОК", G11="", G11=Данные!$B$72, ISNUMBER(SEARCH("без", G11)), ISNUMBER(SEARCH("VP", G11))), 0, (D11 * E11 / 1000000) * F11)</f>
        <v>0</v>
      </c>
      <c r="P11" s="457">
        <f t="shared" si="3"/>
        <v>0</v>
      </c>
      <c r="Q11" s="459">
        <f t="shared" si="4"/>
        <v>0</v>
      </c>
      <c r="R11" s="458">
        <f>IFERROR(IF(K11&lt;&gt;"ОК", 0, IF(B11="LT30/31", ((D11 + E11) * 2 / 1000) * F11 * SUMIFS('LT10,30'!$C:$C, 'LT10,30'!$A:$A, "LT30", 'LT10,30'!$B:$B, C11), IF(ISNUMBER(SEARCH("/", B11)), (((D11 + 2 * E11) / 1000) * F11 * SUMIFS('LT10,30'!$C:$C, 'LT10,30'!$A:$A, LEFT(B11, 4), 'LT10,30'!$B:$B, C11)) + ((D11 / 1000) * F11 * SUMIFS('LT10,30'!$C:$C, 'LT10,30'!$A:$A, LEFT(B11, 2) &amp; MID(B11, 6, 2), 'LT10,30'!$B:$B, C11)), ((D11 + E11) * 2 / 1000) * F11 * SUMIFS('LT10,30'!$C:$C, 'LT10,30'!$A:$A, LEFT(B11, 4), 'LT10,30'!$B:$B, C11)))), 0)</f>
        <v>0</v>
      </c>
      <c r="S11" s="374">
        <f>IFERROR(IF(K11&lt;&gt;"ОК", 0, F11 * IF(ISNUMBER(SEARCH("VP", G11)), INDEX('LT10,30'!$C:$C, MATCH("Сборка винных полок*", 'LT10,30'!$A:$A, 0)), IF(ISNUMBER(MATCH(B11, Данные!$B$119:$B$120, 0)), INDEX('LT10,30'!$C:$C, MATCH("Сборка световой полки LT10*", 'LT10,30'!$A:$A, 0)), IF(ISNUMBER(SEARCH("30/31", B11)), INDEX('LT10,30'!$C:$C, MATCH("Сборка световой полки LT30/31*", 'LT10,30'!$A:$A, 0)), IF(ISNUMBER(MATCH(B11, Данные!$B$121:$B$123, 0)), INDEX('LT10,30'!$C:$C, MATCH("Сборка световой полки LT30*", 'LT10,30'!$A:$A, 0)), 0))))), 0)</f>
        <v>0</v>
      </c>
      <c r="T11" s="375">
        <f>IF(OR(K11&lt;&gt;"ОК", G11="", G11=Данные!$B$72, ISNUMBER(SEARCH("без", G11))), 0, IF(ISNUMBER(SEARCH("VP", G11)), F11 * H11 * ((E11 / 1000) * SUMIF('LT10,30'!$A:$A, G11, 'LT10,30'!$C:$C) + 2), O11 * IF(SUMIFS(СТЕКЛО!$C:$C, СТЕКЛО!$A:$A, G11, СТЕКЛО!$B:$B, "4")&gt;0, SUMIFS(СТЕКЛО!$C:$C, СТЕКЛО!$A:$A, G11, СТЕКЛО!$B:$B, "4"), SUMIF(СТЕКЛО!$A:$A, G11, СТЕКЛО!$C:$C)) + IF(OR(ISNUMBER(SEARCH("30", B11)), ISNUMBER(SEARCH("31", B11)), ISNUMBER(SEARCH("11", B11))), F11 * ((D11 + E11) * 2 / 1000) * IFERROR(VLOOKUP("Полировка кромки стекла", СТЕКЛО!$A:$C, 3, FALSE), 1.42853), 0)))</f>
        <v>0</v>
      </c>
      <c r="U11" s="376">
        <f>IF(OR(K11&lt;&gt;"ОК", J11="", J11="Без полкодержателей", ISNUMBER(SEARCH("без", J11))), 0, 4 * F11 * SUMIF('LT10,30'!$A:$A, J11, 'LT10,30'!$C:$C))</f>
        <v>0</v>
      </c>
      <c r="V11" s="376">
        <v>0</v>
      </c>
      <c r="W11" s="377">
        <f>IF(AND(K11="ОК", I11&lt;&gt;"", I11&lt;&gt;"без закалки"), (O11 * SUMIFS(СТЕКЛО!$C:$C, СТЕКЛО!$A:$A, "Закалка стекла", СТЕКЛО!$B:$B, "4-6 мм")) + (N11 * IF(B11=Данные!$B$119, 2, 1) * SUMIFS(СТЕКЛО!$C:$C, СТЕКЛО!$A:$A, "Шлифовка кромки стекла", СТЕКЛО!$B:$B, "4 мм") * (1 + IF(AND(MIN(D11, E11)&gt;=30, MIN(D11, E11)&lt;=100), 1, 0) + IF(MAX(D11, E11)&gt;=2500, 1, 0))), 0)</f>
        <v>0</v>
      </c>
      <c r="X11" s="475"/>
    </row>
    <row r="12" spans="1:24" ht="45" customHeight="1">
      <c r="A12" s="366">
        <v>9</v>
      </c>
      <c r="B12" s="368"/>
      <c r="C12" s="360"/>
      <c r="D12" s="369"/>
      <c r="E12" s="369"/>
      <c r="F12" s="369"/>
      <c r="G12" s="360"/>
      <c r="H12" s="436"/>
      <c r="I12" s="360"/>
      <c r="J12" s="370"/>
      <c r="K12" s="461" t="str">
        <f>IF(OR(B12="", C12="", D12=0, E12=0, F12=0), "Сделайте выбор",
 IF(OR(D12&lt;200, E12&lt;200), "Мин. размер 200х200!",
 IF(AND(G12&lt;&gt;"", ISNUMBER(SEARCH("VP", G12)), NOT(ISNUMBER(SEARCH("LT3", B12)))), "Трубки VP16 только для LT30/LT31!",
 IF(AND(J12&lt;&gt;"", NOT(ISNUMBER(SEARCH("Без полкодержателей", J12))), ISNUMBER(SEARCH("LT31", B12)), NOT(ISNUMBER(SEARCH("/", B12)))), "Полкодержатель не подходит для LT31!",
 IF(IF(ISNUMBER(SEARCH("/", B12)),
        MIN(
          COUNTIFS('LT10,30'!$A:$A, LEFT(B12, 4) &amp; "*", 'LT10,30'!$B:$B, C12),
          COUNTIFS('LT10,30'!$A:$A, LEFT(B12, 2) &amp; MID(B12, 6, 2) &amp; "*", 'LT10,30'!$B:$B, C12)
        ),
        COUNTIFS('LT10,30'!$A:$A, LEFT(B12, 4) &amp; "*", 'LT10,30'!$B:$B, C12)
      )=0, "Ошибка цвета!",
 IF(IF(ISNUMBER(SEARCH("/", B12)),
        MIN(
          SUMIFS('LT10,30'!$C:$C, 'LT10,30'!$A:$A, LEFT(B12, 4) &amp; "*", 'LT10,30'!$B:$B, C12),
          SUMIFS('LT10,30'!$C:$C, 'LT10,30'!$A:$A, LEFT(B12, 2) &amp; MID(B12, 6, 2) &amp; "*", 'LT10,30'!$B:$B, C12)
        ),
        SUMIFS('LT10,30'!$C:$C, 'LT10,30'!$A:$A, LEFT(B12, 4) &amp; "*", 'LT10,30'!$B:$B, C12)
      )=0, "Нет цены!",
 IF(AND(I12&lt;&gt;"", I12&lt;&gt;"без закалки", OR(ISNUMBER(SEARCH("VP", G12)), ISNUMBER(SEARCH("нельзя закаливать", IFERROR(INDEX(Данные!$E:$E, MATCH(G12, Данные!$B:$B, 0)), ""))))), "Это наполнение не закаливают!",
 "ОК")))))))</f>
        <v>Сделайте выбор</v>
      </c>
      <c r="L12" s="371">
        <f t="shared" si="0"/>
        <v>0</v>
      </c>
      <c r="M12" s="463">
        <f t="shared" si="1"/>
        <v>0</v>
      </c>
      <c r="N12" s="372">
        <f t="shared" si="2"/>
        <v>0</v>
      </c>
      <c r="O12" s="373">
        <f>IF(OR(K12&lt;&gt;"ОК", G12="", G12=Данные!$B$72, ISNUMBER(SEARCH("без", G12)), ISNUMBER(SEARCH("VP", G12))), 0, (D12 * E12 / 1000000) * F12)</f>
        <v>0</v>
      </c>
      <c r="P12" s="457">
        <f t="shared" si="3"/>
        <v>0</v>
      </c>
      <c r="Q12" s="459">
        <f t="shared" si="4"/>
        <v>0</v>
      </c>
      <c r="R12" s="458">
        <f>IFERROR(IF(K12&lt;&gt;"ОК", 0, IF(B12="LT30/31", ((D12 + E12) * 2 / 1000) * F12 * SUMIFS('LT10,30'!$C:$C, 'LT10,30'!$A:$A, "LT30", 'LT10,30'!$B:$B, C12), IF(ISNUMBER(SEARCH("/", B12)), (((D12 + 2 * E12) / 1000) * F12 * SUMIFS('LT10,30'!$C:$C, 'LT10,30'!$A:$A, LEFT(B12, 4), 'LT10,30'!$B:$B, C12)) + ((D12 / 1000) * F12 * SUMIFS('LT10,30'!$C:$C, 'LT10,30'!$A:$A, LEFT(B12, 2) &amp; MID(B12, 6, 2), 'LT10,30'!$B:$B, C12)), ((D12 + E12) * 2 / 1000) * F12 * SUMIFS('LT10,30'!$C:$C, 'LT10,30'!$A:$A, LEFT(B12, 4), 'LT10,30'!$B:$B, C12)))), 0)</f>
        <v>0</v>
      </c>
      <c r="S12" s="374">
        <f>IFERROR(IF(K12&lt;&gt;"ОК", 0, F12 * IF(ISNUMBER(SEARCH("VP", G12)), INDEX('LT10,30'!$C:$C, MATCH("Сборка винных полок*", 'LT10,30'!$A:$A, 0)), IF(ISNUMBER(MATCH(B12, Данные!$B$119:$B$120, 0)), INDEX('LT10,30'!$C:$C, MATCH("Сборка световой полки LT10*", 'LT10,30'!$A:$A, 0)), IF(ISNUMBER(SEARCH("30/31", B12)), INDEX('LT10,30'!$C:$C, MATCH("Сборка световой полки LT30/31*", 'LT10,30'!$A:$A, 0)), IF(ISNUMBER(MATCH(B12, Данные!$B$121:$B$123, 0)), INDEX('LT10,30'!$C:$C, MATCH("Сборка световой полки LT30*", 'LT10,30'!$A:$A, 0)), 0))))), 0)</f>
        <v>0</v>
      </c>
      <c r="T12" s="375">
        <f>IF(OR(K12&lt;&gt;"ОК", G12="", G12=Данные!$B$72, ISNUMBER(SEARCH("без", G12))), 0, IF(ISNUMBER(SEARCH("VP", G12)), F12 * H12 * ((E12 / 1000) * SUMIF('LT10,30'!$A:$A, G12, 'LT10,30'!$C:$C) + 2), O12 * IF(SUMIFS(СТЕКЛО!$C:$C, СТЕКЛО!$A:$A, G12, СТЕКЛО!$B:$B, "4")&gt;0, SUMIFS(СТЕКЛО!$C:$C, СТЕКЛО!$A:$A, G12, СТЕКЛО!$B:$B, "4"), SUMIF(СТЕКЛО!$A:$A, G12, СТЕКЛО!$C:$C)) + IF(OR(ISNUMBER(SEARCH("30", B12)), ISNUMBER(SEARCH("31", B12)), ISNUMBER(SEARCH("11", B12))), F12 * ((D12 + E12) * 2 / 1000) * IFERROR(VLOOKUP("Полировка кромки стекла", СТЕКЛО!$A:$C, 3, FALSE), 1.42853), 0)))</f>
        <v>0</v>
      </c>
      <c r="U12" s="376">
        <f>IF(OR(K12&lt;&gt;"ОК", J12="", J12="Без полкодержателей", ISNUMBER(SEARCH("без", J12))), 0, 4 * F12 * SUMIF('LT10,30'!$A:$A, J12, 'LT10,30'!$C:$C))</f>
        <v>0</v>
      </c>
      <c r="V12" s="376">
        <v>0</v>
      </c>
      <c r="W12" s="377">
        <f>IF(AND(K12="ОК", I12&lt;&gt;"", I12&lt;&gt;"без закалки"), (O12 * SUMIFS(СТЕКЛО!$C:$C, СТЕКЛО!$A:$A, "Закалка стекла", СТЕКЛО!$B:$B, "4-6 мм")) + (N12 * IF(B12=Данные!$B$119, 2, 1) * SUMIFS(СТЕКЛО!$C:$C, СТЕКЛО!$A:$A, "Шлифовка кромки стекла", СТЕКЛО!$B:$B, "4 мм") * (1 + IF(AND(MIN(D12, E12)&gt;=30, MIN(D12, E12)&lt;=100), 1, 0) + IF(MAX(D12, E12)&gt;=2500, 1, 0))), 0)</f>
        <v>0</v>
      </c>
      <c r="X12" s="475"/>
    </row>
    <row r="13" spans="1:24" ht="45" customHeight="1">
      <c r="A13" s="366">
        <v>10</v>
      </c>
      <c r="B13" s="368"/>
      <c r="C13" s="360"/>
      <c r="D13" s="369"/>
      <c r="E13" s="369"/>
      <c r="F13" s="369"/>
      <c r="G13" s="360"/>
      <c r="H13" s="436"/>
      <c r="I13" s="360"/>
      <c r="J13" s="370"/>
      <c r="K13" s="461" t="str">
        <f>IF(OR(B13="", C13="", D13=0, E13=0, F13=0), "Сделайте выбор",
 IF(OR(D13&lt;200, E13&lt;200), "Мин. размер 200х200!",
 IF(AND(G13&lt;&gt;"", ISNUMBER(SEARCH("VP", G13)), NOT(ISNUMBER(SEARCH("LT3", B13)))), "Трубки VP16 только для LT30/LT31!",
 IF(AND(J13&lt;&gt;"", NOT(ISNUMBER(SEARCH("Без полкодержателей", J13))), ISNUMBER(SEARCH("LT31", B13)), NOT(ISNUMBER(SEARCH("/", B13)))), "Полкодержатель не подходит для LT31!",
 IF(IF(ISNUMBER(SEARCH("/", B13)),
        MIN(
          COUNTIFS('LT10,30'!$A:$A, LEFT(B13, 4) &amp; "*", 'LT10,30'!$B:$B, C13),
          COUNTIFS('LT10,30'!$A:$A, LEFT(B13, 2) &amp; MID(B13, 6, 2) &amp; "*", 'LT10,30'!$B:$B, C13)
        ),
        COUNTIFS('LT10,30'!$A:$A, LEFT(B13, 4) &amp; "*", 'LT10,30'!$B:$B, C13)
      )=0, "Ошибка цвета!",
 IF(IF(ISNUMBER(SEARCH("/", B13)),
        MIN(
          SUMIFS('LT10,30'!$C:$C, 'LT10,30'!$A:$A, LEFT(B13, 4) &amp; "*", 'LT10,30'!$B:$B, C13),
          SUMIFS('LT10,30'!$C:$C, 'LT10,30'!$A:$A, LEFT(B13, 2) &amp; MID(B13, 6, 2) &amp; "*", 'LT10,30'!$B:$B, C13)
        ),
        SUMIFS('LT10,30'!$C:$C, 'LT10,30'!$A:$A, LEFT(B13, 4) &amp; "*", 'LT10,30'!$B:$B, C13)
      )=0, "Нет цены!",
 IF(AND(I13&lt;&gt;"", I13&lt;&gt;"без закалки", OR(ISNUMBER(SEARCH("VP", G13)), ISNUMBER(SEARCH("нельзя закаливать", IFERROR(INDEX(Данные!$E:$E, MATCH(G13, Данные!$B:$B, 0)), ""))))), "Это наполнение не закаливают!",
 "ОК")))))))</f>
        <v>Сделайте выбор</v>
      </c>
      <c r="L13" s="371">
        <f t="shared" si="0"/>
        <v>0</v>
      </c>
      <c r="M13" s="463">
        <f t="shared" si="1"/>
        <v>0</v>
      </c>
      <c r="N13" s="372">
        <f t="shared" si="2"/>
        <v>0</v>
      </c>
      <c r="O13" s="373">
        <f>IF(OR(K13&lt;&gt;"ОК", G13="", G13=Данные!$B$72, ISNUMBER(SEARCH("без", G13)), ISNUMBER(SEARCH("VP", G13))), 0, (D13 * E13 / 1000000) * F13)</f>
        <v>0</v>
      </c>
      <c r="P13" s="457">
        <f t="shared" si="3"/>
        <v>0</v>
      </c>
      <c r="Q13" s="459">
        <f t="shared" si="4"/>
        <v>0</v>
      </c>
      <c r="R13" s="458">
        <f>IFERROR(IF(K13&lt;&gt;"ОК", 0, IF(B13="LT30/31", ((D13 + E13) * 2 / 1000) * F13 * SUMIFS('LT10,30'!$C:$C, 'LT10,30'!$A:$A, "LT30", 'LT10,30'!$B:$B, C13), IF(ISNUMBER(SEARCH("/", B13)), (((D13 + 2 * E13) / 1000) * F13 * SUMIFS('LT10,30'!$C:$C, 'LT10,30'!$A:$A, LEFT(B13, 4), 'LT10,30'!$B:$B, C13)) + ((D13 / 1000) * F13 * SUMIFS('LT10,30'!$C:$C, 'LT10,30'!$A:$A, LEFT(B13, 2) &amp; MID(B13, 6, 2), 'LT10,30'!$B:$B, C13)), ((D13 + E13) * 2 / 1000) * F13 * SUMIFS('LT10,30'!$C:$C, 'LT10,30'!$A:$A, LEFT(B13, 4), 'LT10,30'!$B:$B, C13)))), 0)</f>
        <v>0</v>
      </c>
      <c r="S13" s="374">
        <f>IFERROR(IF(K13&lt;&gt;"ОК", 0, F13 * IF(ISNUMBER(SEARCH("VP", G13)), INDEX('LT10,30'!$C:$C, MATCH("Сборка винных полок*", 'LT10,30'!$A:$A, 0)), IF(ISNUMBER(MATCH(B13, Данные!$B$119:$B$120, 0)), INDEX('LT10,30'!$C:$C, MATCH("Сборка световой полки LT10*", 'LT10,30'!$A:$A, 0)), IF(ISNUMBER(SEARCH("30/31", B13)), INDEX('LT10,30'!$C:$C, MATCH("Сборка световой полки LT30/31*", 'LT10,30'!$A:$A, 0)), IF(ISNUMBER(MATCH(B13, Данные!$B$121:$B$123, 0)), INDEX('LT10,30'!$C:$C, MATCH("Сборка световой полки LT30*", 'LT10,30'!$A:$A, 0)), 0))))), 0)</f>
        <v>0</v>
      </c>
      <c r="T13" s="375">
        <f>IF(OR(K13&lt;&gt;"ОК", G13="", G13=Данные!$B$72, ISNUMBER(SEARCH("без", G13))), 0, IF(ISNUMBER(SEARCH("VP", G13)), F13 * H13 * ((E13 / 1000) * SUMIF('LT10,30'!$A:$A, G13, 'LT10,30'!$C:$C) + 2), O13 * IF(SUMIFS(СТЕКЛО!$C:$C, СТЕКЛО!$A:$A, G13, СТЕКЛО!$B:$B, "4")&gt;0, SUMIFS(СТЕКЛО!$C:$C, СТЕКЛО!$A:$A, G13, СТЕКЛО!$B:$B, "4"), SUMIF(СТЕКЛО!$A:$A, G13, СТЕКЛО!$C:$C)) + IF(OR(ISNUMBER(SEARCH("30", B13)), ISNUMBER(SEARCH("31", B13)), ISNUMBER(SEARCH("11", B13))), F13 * ((D13 + E13) * 2 / 1000) * IFERROR(VLOOKUP("Полировка кромки стекла", СТЕКЛО!$A:$C, 3, FALSE), 1.42853), 0)))</f>
        <v>0</v>
      </c>
      <c r="U13" s="376">
        <f>IF(OR(K13&lt;&gt;"ОК", J13="", J13="Без полкодержателей", ISNUMBER(SEARCH("без", J13))), 0, 4 * F13 * SUMIF('LT10,30'!$A:$A, J13, 'LT10,30'!$C:$C))</f>
        <v>0</v>
      </c>
      <c r="V13" s="376">
        <v>0</v>
      </c>
      <c r="W13" s="377">
        <f>IF(AND(K13="ОК", I13&lt;&gt;"", I13&lt;&gt;"без закалки"), (O13 * SUMIFS(СТЕКЛО!$C:$C, СТЕКЛО!$A:$A, "Закалка стекла", СТЕКЛО!$B:$B, "4-6 мм")) + (N13 * IF(B13=Данные!$B$119, 2, 1) * SUMIFS(СТЕКЛО!$C:$C, СТЕКЛО!$A:$A, "Шлифовка кромки стекла", СТЕКЛО!$B:$B, "4 мм") * (1 + IF(AND(MIN(D13, E13)&gt;=30, MIN(D13, E13)&lt;=100), 1, 0) + IF(MAX(D13, E13)&gt;=2500, 1, 0))), 0)</f>
        <v>0</v>
      </c>
      <c r="X13" s="475"/>
    </row>
    <row r="14" spans="1:24" ht="45" customHeight="1">
      <c r="A14" s="366">
        <v>11</v>
      </c>
      <c r="B14" s="368"/>
      <c r="C14" s="360"/>
      <c r="D14" s="369"/>
      <c r="E14" s="369"/>
      <c r="F14" s="369"/>
      <c r="G14" s="360"/>
      <c r="H14" s="436"/>
      <c r="I14" s="360"/>
      <c r="J14" s="370"/>
      <c r="K14" s="461" t="str">
        <f>IF(OR(B14="", C14="", D14=0, E14=0, F14=0), "Сделайте выбор",
 IF(OR(D14&lt;200, E14&lt;200), "Мин. размер 200х200!",
 IF(AND(G14&lt;&gt;"", ISNUMBER(SEARCH("VP", G14)), NOT(ISNUMBER(SEARCH("LT3", B14)))), "Трубки VP16 только для LT30/LT31!",
 IF(AND(J14&lt;&gt;"", NOT(ISNUMBER(SEARCH("Без полкодержателей", J14))), ISNUMBER(SEARCH("LT31", B14)), NOT(ISNUMBER(SEARCH("/", B14)))), "Полкодержатель не подходит для LT31!",
 IF(IF(ISNUMBER(SEARCH("/", B14)),
        MIN(
          COUNTIFS('LT10,30'!$A:$A, LEFT(B14, 4) &amp; "*", 'LT10,30'!$B:$B, C14),
          COUNTIFS('LT10,30'!$A:$A, LEFT(B14, 2) &amp; MID(B14, 6, 2) &amp; "*", 'LT10,30'!$B:$B, C14)
        ),
        COUNTIFS('LT10,30'!$A:$A, LEFT(B14, 4) &amp; "*", 'LT10,30'!$B:$B, C14)
      )=0, "Ошибка цвета!",
 IF(IF(ISNUMBER(SEARCH("/", B14)),
        MIN(
          SUMIFS('LT10,30'!$C:$C, 'LT10,30'!$A:$A, LEFT(B14, 4) &amp; "*", 'LT10,30'!$B:$B, C14),
          SUMIFS('LT10,30'!$C:$C, 'LT10,30'!$A:$A, LEFT(B14, 2) &amp; MID(B14, 6, 2) &amp; "*", 'LT10,30'!$B:$B, C14)
        ),
        SUMIFS('LT10,30'!$C:$C, 'LT10,30'!$A:$A, LEFT(B14, 4) &amp; "*", 'LT10,30'!$B:$B, C14)
      )=0, "Нет цены!",
 IF(AND(I14&lt;&gt;"", I14&lt;&gt;"без закалки", OR(ISNUMBER(SEARCH("VP", G14)), ISNUMBER(SEARCH("нельзя закаливать", IFERROR(INDEX(Данные!$E:$E, MATCH(G14, Данные!$B:$B, 0)), ""))))), "Это наполнение не закаливают!",
 "ОК")))))))</f>
        <v>Сделайте выбор</v>
      </c>
      <c r="L14" s="371">
        <f t="shared" si="0"/>
        <v>0</v>
      </c>
      <c r="M14" s="463">
        <f t="shared" si="1"/>
        <v>0</v>
      </c>
      <c r="N14" s="372">
        <f t="shared" si="2"/>
        <v>0</v>
      </c>
      <c r="O14" s="373">
        <f>IF(OR(K14&lt;&gt;"ОК", G14="", G14=Данные!$B$72, ISNUMBER(SEARCH("без", G14)), ISNUMBER(SEARCH("VP", G14))), 0, (D14 * E14 / 1000000) * F14)</f>
        <v>0</v>
      </c>
      <c r="P14" s="457">
        <f t="shared" si="3"/>
        <v>0</v>
      </c>
      <c r="Q14" s="459">
        <f t="shared" si="4"/>
        <v>0</v>
      </c>
      <c r="R14" s="458">
        <f>IFERROR(IF(K14&lt;&gt;"ОК", 0, IF(B14="LT30/31", ((D14 + E14) * 2 / 1000) * F14 * SUMIFS('LT10,30'!$C:$C, 'LT10,30'!$A:$A, "LT30", 'LT10,30'!$B:$B, C14), IF(ISNUMBER(SEARCH("/", B14)), (((D14 + 2 * E14) / 1000) * F14 * SUMIFS('LT10,30'!$C:$C, 'LT10,30'!$A:$A, LEFT(B14, 4), 'LT10,30'!$B:$B, C14)) + ((D14 / 1000) * F14 * SUMIFS('LT10,30'!$C:$C, 'LT10,30'!$A:$A, LEFT(B14, 2) &amp; MID(B14, 6, 2), 'LT10,30'!$B:$B, C14)), ((D14 + E14) * 2 / 1000) * F14 * SUMIFS('LT10,30'!$C:$C, 'LT10,30'!$A:$A, LEFT(B14, 4), 'LT10,30'!$B:$B, C14)))), 0)</f>
        <v>0</v>
      </c>
      <c r="S14" s="374">
        <f>IFERROR(IF(K14&lt;&gt;"ОК", 0, F14 * IF(ISNUMBER(SEARCH("VP", G14)), INDEX('LT10,30'!$C:$C, MATCH("Сборка винных полок*", 'LT10,30'!$A:$A, 0)), IF(ISNUMBER(MATCH(B14, Данные!$B$119:$B$120, 0)), INDEX('LT10,30'!$C:$C, MATCH("Сборка световой полки LT10*", 'LT10,30'!$A:$A, 0)), IF(ISNUMBER(SEARCH("30/31", B14)), INDEX('LT10,30'!$C:$C, MATCH("Сборка световой полки LT30/31*", 'LT10,30'!$A:$A, 0)), IF(ISNUMBER(MATCH(B14, Данные!$B$121:$B$123, 0)), INDEX('LT10,30'!$C:$C, MATCH("Сборка световой полки LT30*", 'LT10,30'!$A:$A, 0)), 0))))), 0)</f>
        <v>0</v>
      </c>
      <c r="T14" s="375">
        <f>IF(OR(K14&lt;&gt;"ОК", G14="", G14=Данные!$B$72, ISNUMBER(SEARCH("без", G14))), 0, IF(ISNUMBER(SEARCH("VP", G14)), F14 * H14 * ((E14 / 1000) * SUMIF('LT10,30'!$A:$A, G14, 'LT10,30'!$C:$C) + 2), O14 * IF(SUMIFS(СТЕКЛО!$C:$C, СТЕКЛО!$A:$A, G14, СТЕКЛО!$B:$B, "4")&gt;0, SUMIFS(СТЕКЛО!$C:$C, СТЕКЛО!$A:$A, G14, СТЕКЛО!$B:$B, "4"), SUMIF(СТЕКЛО!$A:$A, G14, СТЕКЛО!$C:$C)) + IF(OR(ISNUMBER(SEARCH("30", B14)), ISNUMBER(SEARCH("31", B14)), ISNUMBER(SEARCH("11", B14))), F14 * ((D14 + E14) * 2 / 1000) * IFERROR(VLOOKUP("Полировка кромки стекла", СТЕКЛО!$A:$C, 3, FALSE), 1.42853), 0)))</f>
        <v>0</v>
      </c>
      <c r="U14" s="376">
        <f>IF(OR(K14&lt;&gt;"ОК", J14="", J14="Без полкодержателей", ISNUMBER(SEARCH("без", J14))), 0, 4 * F14 * SUMIF('LT10,30'!$A:$A, J14, 'LT10,30'!$C:$C))</f>
        <v>0</v>
      </c>
      <c r="V14" s="376">
        <v>0</v>
      </c>
      <c r="W14" s="377">
        <f>IF(AND(K14="ОК", I14&lt;&gt;"", I14&lt;&gt;"без закалки"), (O14 * SUMIFS(СТЕКЛО!$C:$C, СТЕКЛО!$A:$A, "Закалка стекла", СТЕКЛО!$B:$B, "4-6 мм")) + (N14 * IF(B14=Данные!$B$119, 2, 1) * SUMIFS(СТЕКЛО!$C:$C, СТЕКЛО!$A:$A, "Шлифовка кромки стекла", СТЕКЛО!$B:$B, "4 мм") * (1 + IF(AND(MIN(D14, E14)&gt;=30, MIN(D14, E14)&lt;=100), 1, 0) + IF(MAX(D14, E14)&gt;=2500, 1, 0))), 0)</f>
        <v>0</v>
      </c>
      <c r="X14" s="475"/>
    </row>
    <row r="15" spans="1:24" ht="45" customHeight="1" thickBot="1">
      <c r="A15" s="367">
        <v>12</v>
      </c>
      <c r="B15" s="378"/>
      <c r="C15" s="379"/>
      <c r="D15" s="380"/>
      <c r="E15" s="380"/>
      <c r="F15" s="380"/>
      <c r="G15" s="360"/>
      <c r="H15" s="437"/>
      <c r="I15" s="379"/>
      <c r="J15" s="381"/>
      <c r="K15" s="462" t="str">
        <f>IF(OR(B15="", C15="", D15=0, E15=0, F15=0), "Сделайте выбор",
 IF(OR(D15&lt;200, E15&lt;200), "Мин. размер 200х200!",
 IF(AND(G15&lt;&gt;"", ISNUMBER(SEARCH("VP", G15)), NOT(ISNUMBER(SEARCH("LT3", B15)))), "Трубки VP16 только для LT30/LT31!",
 IF(AND(J15&lt;&gt;"", NOT(ISNUMBER(SEARCH("Без полкодержателей", J15))), ISNUMBER(SEARCH("LT31", B15)), NOT(ISNUMBER(SEARCH("/", B15)))), "Полкодержатель не подходит для LT31!",
 IF(IF(ISNUMBER(SEARCH("/", B15)),
        MIN(
          COUNTIFS('LT10,30'!$A:$A, LEFT(B15, 4) &amp; "*", 'LT10,30'!$B:$B, C15),
          COUNTIFS('LT10,30'!$A:$A, LEFT(B15, 2) &amp; MID(B15, 6, 2) &amp; "*", 'LT10,30'!$B:$B, C15)
        ),
        COUNTIFS('LT10,30'!$A:$A, LEFT(B15, 4) &amp; "*", 'LT10,30'!$B:$B, C15)
      )=0, "Ошибка цвета!",
 IF(IF(ISNUMBER(SEARCH("/", B15)),
        MIN(
          SUMIFS('LT10,30'!$C:$C, 'LT10,30'!$A:$A, LEFT(B15, 4) &amp; "*", 'LT10,30'!$B:$B, C15),
          SUMIFS('LT10,30'!$C:$C, 'LT10,30'!$A:$A, LEFT(B15, 2) &amp; MID(B15, 6, 2) &amp; "*", 'LT10,30'!$B:$B, C15)
        ),
        SUMIFS('LT10,30'!$C:$C, 'LT10,30'!$A:$A, LEFT(B15, 4) &amp; "*", 'LT10,30'!$B:$B, C15)
      )=0, "Нет цены!",
 IF(AND(I15&lt;&gt;"", I15&lt;&gt;"без закалки", OR(ISNUMBER(SEARCH("VP", G15)), ISNUMBER(SEARCH("нельзя закаливать", IFERROR(INDEX(Данные!$E:$E, MATCH(G15, Данные!$B:$B, 0)), ""))))), "Это наполнение не закаливают!",
 "ОК")))))))</f>
        <v>Сделайте выбор</v>
      </c>
      <c r="L15" s="435">
        <f t="shared" si="0"/>
        <v>0</v>
      </c>
      <c r="M15" s="463">
        <f t="shared" si="1"/>
        <v>0</v>
      </c>
      <c r="N15" s="372">
        <f t="shared" si="2"/>
        <v>0</v>
      </c>
      <c r="O15" s="373">
        <f>IF(OR(K15&lt;&gt;"ОК", G15="", G15=Данные!$B$72, ISNUMBER(SEARCH("без", G15)), ISNUMBER(SEARCH("VP", G15))), 0, (D15 * E15 / 1000000) * F15)</f>
        <v>0</v>
      </c>
      <c r="P15" s="457">
        <f t="shared" si="3"/>
        <v>0</v>
      </c>
      <c r="Q15" s="459">
        <f t="shared" si="4"/>
        <v>0</v>
      </c>
      <c r="R15" s="458">
        <f>IFERROR(IF(K15&lt;&gt;"ОК", 0, IF(B15="LT30/31", ((D15 + E15) * 2 / 1000) * F15 * SUMIFS('LT10,30'!$C:$C, 'LT10,30'!$A:$A, "LT30", 'LT10,30'!$B:$B, C15), IF(ISNUMBER(SEARCH("/", B15)), (((D15 + 2 * E15) / 1000) * F15 * SUMIFS('LT10,30'!$C:$C, 'LT10,30'!$A:$A, LEFT(B15, 4), 'LT10,30'!$B:$B, C15)) + ((D15 / 1000) * F15 * SUMIFS('LT10,30'!$C:$C, 'LT10,30'!$A:$A, LEFT(B15, 2) &amp; MID(B15, 6, 2), 'LT10,30'!$B:$B, C15)), ((D15 + E15) * 2 / 1000) * F15 * SUMIFS('LT10,30'!$C:$C, 'LT10,30'!$A:$A, LEFT(B15, 4), 'LT10,30'!$B:$B, C15)))), 0)</f>
        <v>0</v>
      </c>
      <c r="S15" s="374">
        <f>IFERROR(IF(K15&lt;&gt;"ОК", 0, F15 * IF(ISNUMBER(SEARCH("VP", G15)), INDEX('LT10,30'!$C:$C, MATCH("Сборка винных полок*", 'LT10,30'!$A:$A, 0)), IF(ISNUMBER(MATCH(B15, Данные!$B$119:$B$120, 0)), INDEX('LT10,30'!$C:$C, MATCH("Сборка световой полки LT10*", 'LT10,30'!$A:$A, 0)), IF(ISNUMBER(SEARCH("30/31", B15)), INDEX('LT10,30'!$C:$C, MATCH("Сборка световой полки LT30/31*", 'LT10,30'!$A:$A, 0)), IF(ISNUMBER(MATCH(B15, Данные!$B$121:$B$123, 0)), INDEX('LT10,30'!$C:$C, MATCH("Сборка световой полки LT30*", 'LT10,30'!$A:$A, 0)), 0))))), 0)</f>
        <v>0</v>
      </c>
      <c r="T15" s="375">
        <f>IF(OR(K15&lt;&gt;"ОК", G15="", G15=Данные!$B$72, ISNUMBER(SEARCH("без", G15))), 0, IF(ISNUMBER(SEARCH("VP", G15)), F15 * H15 * ((E15 / 1000) * SUMIF('LT10,30'!$A:$A, G15, 'LT10,30'!$C:$C) + 2), O15 * IF(SUMIFS(СТЕКЛО!$C:$C, СТЕКЛО!$A:$A, G15, СТЕКЛО!$B:$B, "4")&gt;0, SUMIFS(СТЕКЛО!$C:$C, СТЕКЛО!$A:$A, G15, СТЕКЛО!$B:$B, "4"), SUMIF(СТЕКЛО!$A:$A, G15, СТЕКЛО!$C:$C)) + IF(OR(ISNUMBER(SEARCH("30", B15)), ISNUMBER(SEARCH("31", B15)), ISNUMBER(SEARCH("11", B15))), F15 * ((D15 + E15) * 2 / 1000) * IFERROR(VLOOKUP("Полировка кромки стекла", СТЕКЛО!$A:$C, 3, FALSE), 1.42853), 0)))</f>
        <v>0</v>
      </c>
      <c r="U15" s="376">
        <f>IF(OR(K15&lt;&gt;"ОК", J15="", J15="Без полкодержателей", ISNUMBER(SEARCH("без", J15))), 0, 4 * F15 * SUMIF('LT10,30'!$A:$A, J15, 'LT10,30'!$C:$C))</f>
        <v>0</v>
      </c>
      <c r="V15" s="376">
        <v>0</v>
      </c>
      <c r="W15" s="377">
        <f>IF(AND(K15="ОК", I15&lt;&gt;"", I15&lt;&gt;"без закалки"), (O15 * SUMIFS(СТЕКЛО!$C:$C, СТЕКЛО!$A:$A, "Закалка стекла", СТЕКЛО!$B:$B, "4-6 мм")) + (N15 * IF(B15=Данные!$B$119, 2, 1) * SUMIFS(СТЕКЛО!$C:$C, СТЕКЛО!$A:$A, "Шлифовка кромки стекла", СТЕКЛО!$B:$B, "4 мм") * (1 + IF(AND(MIN(D15, E15)&gt;=30, MIN(D15, E15)&lt;=100), 1, 0) + IF(MAX(D15, E15)&gt;=2500, 1, 0))), 0)</f>
        <v>0</v>
      </c>
      <c r="X15" s="476"/>
    </row>
    <row r="16" spans="1:24" ht="33.75" customHeight="1" thickBot="1">
      <c r="A16" s="521" t="s">
        <v>402</v>
      </c>
      <c r="B16" s="522"/>
      <c r="C16" s="522"/>
      <c r="D16" s="522"/>
      <c r="E16" s="522"/>
      <c r="F16" s="522"/>
      <c r="G16" s="522"/>
      <c r="H16" s="522"/>
      <c r="I16" s="522"/>
      <c r="J16" s="522"/>
      <c r="K16" s="523"/>
      <c r="L16" s="432">
        <f>SUM(L4:L15)</f>
        <v>0</v>
      </c>
      <c r="M16" s="464">
        <f>SUM(M4:M15)</f>
        <v>0</v>
      </c>
      <c r="N16" s="324"/>
      <c r="O16" s="324"/>
      <c r="P16" s="324"/>
      <c r="Q16" s="324"/>
      <c r="R16" s="324"/>
      <c r="S16" s="324"/>
      <c r="T16" s="324"/>
      <c r="U16" s="324"/>
      <c r="V16" s="324"/>
      <c r="W16" s="324"/>
      <c r="X16" s="324"/>
    </row>
    <row r="18" spans="2:35" ht="37.5" customHeight="1">
      <c r="B18" s="506" t="s">
        <v>451</v>
      </c>
      <c r="C18" s="506"/>
      <c r="D18" s="506"/>
      <c r="E18" s="506"/>
      <c r="F18" s="506"/>
      <c r="G18" s="506"/>
      <c r="H18" s="506"/>
      <c r="I18" s="506"/>
      <c r="J18" s="506"/>
      <c r="K18" s="506"/>
      <c r="L18" s="506"/>
      <c r="M18" s="506"/>
      <c r="N18" s="506"/>
      <c r="O18" s="506"/>
      <c r="P18" s="506"/>
      <c r="Q18" s="506"/>
    </row>
    <row r="19" spans="2:35" ht="34.5" customHeight="1">
      <c r="B19" s="506" t="s">
        <v>450</v>
      </c>
      <c r="C19" s="506"/>
      <c r="D19" s="506"/>
      <c r="E19" s="506"/>
      <c r="F19" s="506"/>
      <c r="G19" s="506"/>
      <c r="H19" s="506"/>
      <c r="I19" s="506"/>
      <c r="J19" s="506"/>
      <c r="K19" s="506"/>
      <c r="L19" s="506"/>
      <c r="M19" s="506"/>
      <c r="N19" s="506"/>
      <c r="O19" s="506"/>
      <c r="P19" s="506"/>
      <c r="Q19" s="506"/>
    </row>
    <row r="21" spans="2:35" ht="31.5">
      <c r="B21" s="77" t="s">
        <v>276</v>
      </c>
      <c r="D21" s="304"/>
      <c r="G21" s="471" t="s">
        <v>275</v>
      </c>
      <c r="H21" s="346"/>
      <c r="I21" s="346"/>
      <c r="J21" s="346"/>
      <c r="K21" s="466"/>
      <c r="L21" s="466"/>
      <c r="M21" s="348"/>
      <c r="N21" s="171"/>
      <c r="O21" s="349"/>
      <c r="P21" s="473"/>
      <c r="Q21" s="473"/>
      <c r="R21" s="473"/>
      <c r="S21" s="473"/>
      <c r="T21" s="473"/>
      <c r="U21" s="473"/>
      <c r="V21" s="473"/>
      <c r="W21" s="473"/>
      <c r="X21" s="473"/>
      <c r="Y21" s="473"/>
      <c r="Z21" s="473"/>
      <c r="AA21" s="473"/>
      <c r="AB21" s="473"/>
      <c r="AC21" s="473"/>
      <c r="AD21" s="473"/>
      <c r="AE21" s="473"/>
      <c r="AF21" s="473"/>
      <c r="AG21" s="473"/>
      <c r="AH21" s="473"/>
      <c r="AI21" s="473"/>
    </row>
    <row r="22" spans="2:35" ht="15.95" customHeight="1">
      <c r="B22" s="301"/>
      <c r="C22" s="302"/>
      <c r="D22" s="304"/>
      <c r="G22" s="353" t="s">
        <v>387</v>
      </c>
      <c r="H22" s="353"/>
      <c r="I22" s="353"/>
      <c r="J22" s="353"/>
      <c r="K22" s="353"/>
      <c r="L22" s="353"/>
      <c r="M22" s="353"/>
      <c r="N22" s="353"/>
      <c r="O22" s="353"/>
      <c r="P22" s="473"/>
      <c r="Q22" s="473"/>
      <c r="R22" s="473"/>
      <c r="S22" s="473"/>
      <c r="T22" s="473"/>
      <c r="U22" s="473"/>
      <c r="V22" s="473"/>
      <c r="W22" s="473"/>
      <c r="X22" s="473"/>
      <c r="Y22" s="473"/>
      <c r="Z22" s="473"/>
      <c r="AA22" s="473"/>
      <c r="AB22" s="473"/>
      <c r="AC22" s="473"/>
      <c r="AD22" s="473"/>
      <c r="AE22" s="473"/>
      <c r="AF22" s="473"/>
      <c r="AG22" s="473"/>
      <c r="AH22" s="473"/>
      <c r="AI22" s="473"/>
    </row>
    <row r="23" spans="2:35" ht="15.95" customHeight="1">
      <c r="B23" s="301"/>
      <c r="C23" s="301"/>
      <c r="D23" s="303"/>
      <c r="G23" s="353"/>
      <c r="H23" s="346"/>
      <c r="I23" s="346"/>
      <c r="J23" s="346"/>
      <c r="K23" s="503"/>
      <c r="L23" s="503"/>
      <c r="M23" s="348"/>
      <c r="N23" s="171"/>
      <c r="O23" s="349"/>
    </row>
    <row r="24" spans="2:35">
      <c r="G24" s="504" t="s">
        <v>388</v>
      </c>
      <c r="H24" s="505" t="s">
        <v>274</v>
      </c>
      <c r="I24" s="505"/>
      <c r="J24" s="505"/>
      <c r="K24" s="505"/>
      <c r="L24" s="505"/>
      <c r="M24" s="505"/>
      <c r="N24" s="505"/>
      <c r="O24" s="505"/>
      <c r="P24" s="505"/>
      <c r="Q24" s="505"/>
      <c r="R24" s="505"/>
      <c r="S24" s="505"/>
      <c r="T24" s="505"/>
      <c r="U24" s="505"/>
      <c r="V24" s="505"/>
      <c r="W24" s="505"/>
      <c r="X24" s="505"/>
      <c r="Y24" s="505"/>
      <c r="Z24" s="505"/>
      <c r="AA24" s="505"/>
      <c r="AB24" s="505"/>
      <c r="AC24" s="505"/>
      <c r="AD24" s="505"/>
      <c r="AE24" s="505"/>
      <c r="AF24" s="505"/>
      <c r="AG24" s="505"/>
      <c r="AH24" s="505"/>
      <c r="AI24" s="505"/>
    </row>
    <row r="25" spans="2:35">
      <c r="G25" s="504"/>
      <c r="H25" s="505"/>
      <c r="I25" s="505"/>
      <c r="J25" s="505"/>
      <c r="K25" s="505"/>
      <c r="L25" s="505"/>
      <c r="M25" s="505"/>
      <c r="N25" s="505"/>
      <c r="O25" s="505"/>
      <c r="P25" s="505"/>
      <c r="Q25" s="505"/>
      <c r="R25" s="505"/>
      <c r="S25" s="505"/>
      <c r="T25" s="505"/>
      <c r="U25" s="505"/>
      <c r="V25" s="505"/>
      <c r="W25" s="505"/>
      <c r="X25" s="505"/>
      <c r="Y25" s="505"/>
      <c r="Z25" s="505"/>
      <c r="AA25" s="505"/>
      <c r="AB25" s="505"/>
      <c r="AC25" s="505"/>
      <c r="AD25" s="505"/>
      <c r="AE25" s="505"/>
      <c r="AF25" s="505"/>
      <c r="AG25" s="505"/>
      <c r="AH25" s="505"/>
      <c r="AI25" s="505"/>
    </row>
    <row r="26" spans="2:35" ht="18.75">
      <c r="F26" s="353"/>
    </row>
    <row r="27" spans="2:35" ht="18.75" customHeight="1"/>
    <row r="30" spans="2:35">
      <c r="K30" s="132"/>
      <c r="L30" s="130"/>
      <c r="M30" s="131"/>
    </row>
    <row r="31" spans="2:35">
      <c r="K31" s="132"/>
      <c r="L31" s="130"/>
      <c r="M31" s="131"/>
    </row>
    <row r="32" spans="2:35">
      <c r="K32" s="132"/>
      <c r="L32" s="130"/>
      <c r="M32" s="131"/>
    </row>
  </sheetData>
  <sheetProtection algorithmName="SHA-512" hashValue="sP5dfOyiruVaBma9vZym71megx/B9q8OmrMWlDr9wLviYgt6CGy3iv3rAtxaFPoERNpH941WyKAL1Mx8NR44Hw==" saltValue="JqctUerYH66FGg5walqh3w==" spinCount="100000" sheet="1"/>
  <mergeCells count="24">
    <mergeCell ref="E1:F1"/>
    <mergeCell ref="V2:V3"/>
    <mergeCell ref="A16:K16"/>
    <mergeCell ref="K2:K3"/>
    <mergeCell ref="B2:J2"/>
    <mergeCell ref="U2:U3"/>
    <mergeCell ref="A1:B1"/>
    <mergeCell ref="A2:A3"/>
    <mergeCell ref="N2:N3"/>
    <mergeCell ref="O2:O3"/>
    <mergeCell ref="R2:R3"/>
    <mergeCell ref="T2:T3"/>
    <mergeCell ref="S2:S3"/>
    <mergeCell ref="W2:W3"/>
    <mergeCell ref="L2:L3"/>
    <mergeCell ref="M2:M3"/>
    <mergeCell ref="X2:X3"/>
    <mergeCell ref="P2:P3"/>
    <mergeCell ref="Q2:Q3"/>
    <mergeCell ref="K23:L23"/>
    <mergeCell ref="G24:G25"/>
    <mergeCell ref="H24:AI25"/>
    <mergeCell ref="B18:Q18"/>
    <mergeCell ref="B19:Q19"/>
  </mergeCells>
  <phoneticPr fontId="37" type="noConversion"/>
  <conditionalFormatting sqref="K4:K15">
    <cfRule type="cellIs" dxfId="6" priority="1" stopIfTrue="1" operator="notEqual">
      <formula>"ОК"</formula>
    </cfRule>
    <cfRule type="cellIs" dxfId="5" priority="2" operator="equal">
      <formula>"ОК"</formula>
    </cfRule>
  </conditionalFormatting>
  <hyperlinks>
    <hyperlink ref="H24" r:id="rId1" xr:uid="{00000000-0004-0000-0100-000000000000}"/>
  </hyperlinks>
  <pageMargins left="0.25" right="0.25" top="0.75" bottom="0.75" header="0.3" footer="0.3"/>
  <pageSetup paperSize="9" scale="38" orientation="landscape"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100-000000000000}">
          <x14:formula1>
            <xm:f>Данные!$B$129:$B$130</xm:f>
          </x14:formula1>
          <xm:sqref>I4:I15</xm:sqref>
        </x14:dataValidation>
        <x14:dataValidation type="list" allowBlank="1" showInputMessage="1" showErrorMessage="1" xr:uid="{00000000-0002-0000-0100-000001000000}">
          <x14:formula1>
            <xm:f>Данные!$B$134:$B$135</xm:f>
          </x14:formula1>
          <xm:sqref>J1</xm:sqref>
        </x14:dataValidation>
        <x14:dataValidation type="list" allowBlank="1" showInputMessage="1" showErrorMessage="1" xr:uid="{00000000-0002-0000-0100-000002000000}">
          <x14:formula1>
            <xm:f>Данные!$B$124:$B$128</xm:f>
          </x14:formula1>
          <xm:sqref>C4:C15</xm:sqref>
        </x14:dataValidation>
        <x14:dataValidation type="list" allowBlank="1" showInputMessage="1" showErrorMessage="1" xr:uid="{00000000-0002-0000-0100-000003000000}">
          <x14:formula1>
            <xm:f>Данные!$B$119:$B$123</xm:f>
          </x14:formula1>
          <xm:sqref>B4:B15</xm:sqref>
        </x14:dataValidation>
        <x14:dataValidation type="list" allowBlank="1" showInputMessage="1" showErrorMessage="1" xr:uid="{00000000-0002-0000-0100-000004000000}">
          <x14:formula1>
            <xm:f>Данные!$B$136:$B$137</xm:f>
          </x14:formula1>
          <xm:sqref>J4:J15</xm:sqref>
        </x14:dataValidation>
        <x14:dataValidation type="list" allowBlank="1" showInputMessage="1" showErrorMessage="1" xr:uid="{00000000-0002-0000-0100-000005000000}">
          <x14:formula1>
            <xm:f>Данные!$B$72:$B$113</xm:f>
          </x14:formula1>
          <xm:sqref>G4:G15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2">
    <tabColor rgb="FF00B050"/>
    <pageSetUpPr fitToPage="1"/>
  </sheetPr>
  <dimension ref="A1:AL45"/>
  <sheetViews>
    <sheetView tabSelected="1" zoomScale="70" zoomScaleNormal="70" workbookViewId="0">
      <selection activeCell="B5" sqref="B5"/>
    </sheetView>
  </sheetViews>
  <sheetFormatPr defaultColWidth="9.140625" defaultRowHeight="15"/>
  <cols>
    <col min="1" max="1" width="4.42578125" style="150" customWidth="1"/>
    <col min="2" max="2" width="18.42578125" style="78" customWidth="1"/>
    <col min="3" max="3" width="20.85546875" style="78" customWidth="1"/>
    <col min="4" max="4" width="13.140625" style="78" customWidth="1"/>
    <col min="5" max="5" width="12.85546875" style="78" customWidth="1"/>
    <col min="6" max="6" width="13.42578125" style="78" customWidth="1"/>
    <col min="7" max="7" width="51.28515625" style="78" customWidth="1"/>
    <col min="8" max="8" width="11.28515625" style="78" customWidth="1"/>
    <col min="9" max="9" width="38" style="78" customWidth="1"/>
    <col min="10" max="10" width="15" style="78" customWidth="1"/>
    <col min="11" max="11" width="23" style="78" customWidth="1"/>
    <col min="12" max="12" width="17.85546875" style="78" customWidth="1"/>
    <col min="13" max="13" width="13.5703125" style="78" customWidth="1"/>
    <col min="14" max="14" width="13.85546875" style="78" customWidth="1"/>
    <col min="15" max="15" width="23" style="78" customWidth="1"/>
    <col min="16" max="16" width="24.85546875" style="78" hidden="1" customWidth="1"/>
    <col min="17" max="17" width="25.140625" style="78" customWidth="1"/>
    <col min="18" max="18" width="7.7109375" style="78" hidden="1" customWidth="1"/>
    <col min="19" max="19" width="6.140625" style="78" hidden="1" customWidth="1"/>
    <col min="20" max="22" width="12.140625" style="78" hidden="1" customWidth="1"/>
    <col min="23" max="23" width="10.42578125" style="78" hidden="1" customWidth="1"/>
    <col min="24" max="25" width="7.140625" style="78" hidden="1" customWidth="1"/>
    <col min="26" max="26" width="9.7109375" style="78" hidden="1" customWidth="1"/>
    <col min="27" max="27" width="8.28515625" style="78" hidden="1" customWidth="1"/>
    <col min="28" max="28" width="7.140625" style="78" hidden="1" customWidth="1"/>
    <col min="29" max="29" width="9" style="78" hidden="1" customWidth="1"/>
    <col min="30" max="31" width="7.140625" style="78" hidden="1" customWidth="1"/>
    <col min="32" max="32" width="13" style="78" hidden="1" customWidth="1"/>
    <col min="33" max="33" width="12" style="78" hidden="1" customWidth="1"/>
    <col min="34" max="35" width="7.140625" style="78" hidden="1" customWidth="1"/>
    <col min="36" max="36" width="10.7109375" style="78" hidden="1" customWidth="1"/>
    <col min="37" max="37" width="49.42578125" style="78" customWidth="1"/>
    <col min="38" max="38" width="7.140625" style="78" hidden="1" customWidth="1"/>
    <col min="39" max="16384" width="9.140625" style="78"/>
  </cols>
  <sheetData>
    <row r="1" spans="1:38" ht="31.5" customHeight="1" thickBot="1">
      <c r="A1" s="581" t="s">
        <v>175</v>
      </c>
      <c r="B1" s="582"/>
      <c r="C1" s="389"/>
      <c r="D1" s="583" t="s">
        <v>176</v>
      </c>
      <c r="E1" s="583"/>
      <c r="F1" s="584"/>
      <c r="G1" s="584"/>
      <c r="H1" s="583" t="s">
        <v>228</v>
      </c>
      <c r="I1" s="583"/>
      <c r="J1" s="585"/>
      <c r="K1" s="585"/>
      <c r="L1" s="583" t="s">
        <v>242</v>
      </c>
      <c r="M1" s="583"/>
      <c r="N1" s="390"/>
      <c r="O1" s="454">
        <f>AK1</f>
        <v>89.05</v>
      </c>
      <c r="P1" s="391"/>
      <c r="Q1" s="429">
        <v>2</v>
      </c>
      <c r="R1" s="452"/>
      <c r="S1" s="452"/>
      <c r="T1" s="452"/>
      <c r="U1" s="452"/>
      <c r="V1" s="452"/>
      <c r="W1" s="452"/>
      <c r="X1" s="452"/>
      <c r="Y1" s="452"/>
      <c r="Z1" s="452"/>
      <c r="AA1" s="452"/>
      <c r="AB1" s="452"/>
      <c r="AC1" s="452"/>
      <c r="AD1" s="452"/>
      <c r="AE1" s="452"/>
      <c r="AF1" s="452"/>
      <c r="AG1" s="452"/>
      <c r="AH1" s="452"/>
      <c r="AI1" s="452"/>
      <c r="AJ1" s="452"/>
      <c r="AK1" s="455">
        <v>89.05</v>
      </c>
    </row>
    <row r="2" spans="1:38" s="147" customFormat="1" ht="29.1" customHeight="1">
      <c r="A2" s="591"/>
      <c r="B2" s="597" t="s">
        <v>58</v>
      </c>
      <c r="C2" s="598"/>
      <c r="D2" s="598"/>
      <c r="E2" s="598"/>
      <c r="F2" s="599"/>
      <c r="G2" s="597" t="s">
        <v>57</v>
      </c>
      <c r="H2" s="599"/>
      <c r="I2" s="597" t="s">
        <v>56</v>
      </c>
      <c r="J2" s="598"/>
      <c r="K2" s="598"/>
      <c r="L2" s="598"/>
      <c r="M2" s="598"/>
      <c r="N2" s="599"/>
      <c r="O2" s="579" t="s">
        <v>304</v>
      </c>
      <c r="P2" s="605" t="s">
        <v>415</v>
      </c>
      <c r="Q2" s="561" t="s">
        <v>146</v>
      </c>
      <c r="R2" s="570" t="s">
        <v>108</v>
      </c>
      <c r="S2" s="564" t="s">
        <v>109</v>
      </c>
      <c r="T2" s="611" t="s">
        <v>421</v>
      </c>
      <c r="U2" s="614" t="s">
        <v>11</v>
      </c>
      <c r="V2" s="614" t="s">
        <v>425</v>
      </c>
      <c r="W2" s="608" t="s">
        <v>127</v>
      </c>
      <c r="X2" s="549" t="s">
        <v>113</v>
      </c>
      <c r="Y2" s="573" t="s">
        <v>101</v>
      </c>
      <c r="Z2" s="567" t="s">
        <v>105</v>
      </c>
      <c r="AA2" s="555" t="s">
        <v>102</v>
      </c>
      <c r="AB2" s="555" t="s">
        <v>138</v>
      </c>
      <c r="AC2" s="555" t="s">
        <v>99</v>
      </c>
      <c r="AD2" s="555" t="s">
        <v>100</v>
      </c>
      <c r="AE2" s="602" t="s">
        <v>219</v>
      </c>
      <c r="AF2" s="558" t="s">
        <v>38</v>
      </c>
      <c r="AG2" s="576" t="s">
        <v>297</v>
      </c>
      <c r="AH2" s="576" t="s">
        <v>298</v>
      </c>
      <c r="AI2" s="576" t="s">
        <v>302</v>
      </c>
      <c r="AJ2" s="576" t="s">
        <v>303</v>
      </c>
      <c r="AK2" s="552" t="s">
        <v>112</v>
      </c>
      <c r="AL2" s="543" t="s">
        <v>241</v>
      </c>
    </row>
    <row r="3" spans="1:38" s="148" customFormat="1" ht="30.95" customHeight="1">
      <c r="A3" s="591"/>
      <c r="B3" s="593" t="s">
        <v>50</v>
      </c>
      <c r="C3" s="595" t="s">
        <v>51</v>
      </c>
      <c r="D3" s="595" t="s">
        <v>52</v>
      </c>
      <c r="E3" s="595" t="s">
        <v>53</v>
      </c>
      <c r="F3" s="587" t="s">
        <v>35</v>
      </c>
      <c r="G3" s="593" t="s">
        <v>59</v>
      </c>
      <c r="H3" s="587" t="s">
        <v>399</v>
      </c>
      <c r="I3" s="593" t="s">
        <v>60</v>
      </c>
      <c r="J3" s="546" t="s">
        <v>54</v>
      </c>
      <c r="K3" s="547"/>
      <c r="L3" s="547"/>
      <c r="M3" s="547"/>
      <c r="N3" s="548"/>
      <c r="O3" s="579"/>
      <c r="P3" s="606"/>
      <c r="Q3" s="562"/>
      <c r="R3" s="571"/>
      <c r="S3" s="565"/>
      <c r="T3" s="612"/>
      <c r="U3" s="615"/>
      <c r="V3" s="615"/>
      <c r="W3" s="609"/>
      <c r="X3" s="550"/>
      <c r="Y3" s="574"/>
      <c r="Z3" s="568"/>
      <c r="AA3" s="556"/>
      <c r="AB3" s="556"/>
      <c r="AC3" s="556"/>
      <c r="AD3" s="556"/>
      <c r="AE3" s="603"/>
      <c r="AF3" s="559"/>
      <c r="AG3" s="577"/>
      <c r="AH3" s="577"/>
      <c r="AI3" s="577"/>
      <c r="AJ3" s="577"/>
      <c r="AK3" s="553"/>
      <c r="AL3" s="544"/>
    </row>
    <row r="4" spans="1:38" s="148" customFormat="1" ht="66.95" customHeight="1" thickBot="1">
      <c r="A4" s="592"/>
      <c r="B4" s="594"/>
      <c r="C4" s="596"/>
      <c r="D4" s="596"/>
      <c r="E4" s="596"/>
      <c r="F4" s="554"/>
      <c r="G4" s="594"/>
      <c r="H4" s="554"/>
      <c r="I4" s="594"/>
      <c r="J4" s="385" t="s">
        <v>215</v>
      </c>
      <c r="K4" s="386" t="s">
        <v>142</v>
      </c>
      <c r="L4" s="386" t="s">
        <v>185</v>
      </c>
      <c r="M4" s="386" t="s">
        <v>55</v>
      </c>
      <c r="N4" s="387" t="s">
        <v>186</v>
      </c>
      <c r="O4" s="580"/>
      <c r="P4" s="607"/>
      <c r="Q4" s="563"/>
      <c r="R4" s="572"/>
      <c r="S4" s="566"/>
      <c r="T4" s="613"/>
      <c r="U4" s="616"/>
      <c r="V4" s="616"/>
      <c r="W4" s="610"/>
      <c r="X4" s="551"/>
      <c r="Y4" s="575"/>
      <c r="Z4" s="569"/>
      <c r="AA4" s="557"/>
      <c r="AB4" s="557"/>
      <c r="AC4" s="557"/>
      <c r="AD4" s="557"/>
      <c r="AE4" s="604"/>
      <c r="AF4" s="560"/>
      <c r="AG4" s="578"/>
      <c r="AH4" s="578"/>
      <c r="AI4" s="578"/>
      <c r="AJ4" s="578"/>
      <c r="AK4" s="554"/>
      <c r="AL4" s="545"/>
    </row>
    <row r="5" spans="1:38" s="149" customFormat="1" ht="43.5" customHeight="1" thickBot="1">
      <c r="A5" s="341">
        <v>1</v>
      </c>
      <c r="B5" s="355" t="s">
        <v>179</v>
      </c>
      <c r="C5" s="325"/>
      <c r="D5" s="356"/>
      <c r="E5" s="356"/>
      <c r="F5" s="357"/>
      <c r="G5" s="355"/>
      <c r="H5" s="357"/>
      <c r="I5" s="355"/>
      <c r="J5" s="325"/>
      <c r="K5" s="325"/>
      <c r="L5" s="358"/>
      <c r="M5" s="397"/>
      <c r="N5" s="359"/>
      <c r="O5" s="342" t="str">
        <f>IF(OR(B5="", C5="", D5=0, E5=0, F5=0), "Сделайте выбор",
 IF(OR(D5&lt;200, E5&lt;200), "Мин. размер 200х200!",
 IF(NOT(AG5), "Ошибка цвета!",
 IF(IF(ISNUMBER(SEARCH("MF", B5)), SUMIFS(MF!$C:$C, MF!$A:$A, LEFT(B5, 5), MF!$B:$B, C5), SUMIFS(MZ!$C:$C, MZ!$A:$A, B5, MZ!$B:$B, C5))=0, "Нет актуальной цены!",
 IF(OR(AND(NOT(AJ5), NOT(AND(B5="MZ 04", ISNUMBER(SEARCH("902", G5))))), AND(ISNUMBER(SEARCH("MF20", SUBSTITUTE(G5, " ", ""))), NOT(ISNUMBER(SEARCH("MF 2", B5)))), AND(ISNUMBER(SEARCH("MF50", SUBSTITUTE(G5, " ", ""))), NOT(ISNUMBER(SEARCH("MF 5", B5)))), AND(ISNUMBER(SEARCH("MF70", SUBSTITUTE(G5, " ", ""))), NOT(ISNUMBER(SEARCH("MF 7", B5))))), "Петля не подходит!",
 IF(AND(K5&lt;&gt;"", K5&lt;&gt;"без закалки", OR(ISNUMBER(SEARCH("MF 2", B5)), ISNUMBER(SEARCH("MF 3", B5)))), "В этом профиле закалка невозможна!",
 IF(AND(K5&lt;&gt;"", K5&lt;&gt;"без закалки", ISNUMBER(SEARCH("нельзя закаливать", IFERROR(INDEX(Данные!$E:$E, MATCH(I5, Данные!$B:$B, 0)), "")))), "Это наполнение не закаливают!",
 "ОК")))))))</f>
        <v>Сделайте выбор</v>
      </c>
      <c r="P5" s="430">
        <f>IF(O5="ОК",SUM(W5:AE5)*$O$1,0)</f>
        <v>0</v>
      </c>
      <c r="Q5" s="428">
        <f>(P5-P5*0.2)*$Q$1</f>
        <v>0</v>
      </c>
      <c r="R5" s="326">
        <f>SUM(D5:E5)*2*F5/1000</f>
        <v>0</v>
      </c>
      <c r="S5" s="327">
        <f t="shared" ref="S5:S16" si="0">IF(OR(I5="", I5="без наполнения"), 0, D5/1000 * E5/1000 * F5)</f>
        <v>0</v>
      </c>
      <c r="T5" s="451">
        <f>(W5+X5) * $O$1</f>
        <v>0</v>
      </c>
      <c r="U5" s="453">
        <f>AC5*$O$1</f>
        <v>0</v>
      </c>
      <c r="V5" s="453">
        <f>Z5*$O$1</f>
        <v>0</v>
      </c>
      <c r="W5" s="328">
        <f>IFERROR(IF(O5&lt;&gt;"ОК", 0, IF(NOT(ISNUMBER(SEARCH("MF", B5))), IF(ISNUMBER(SEARCH("13-01", B5)), ((R5 - D5*F5/1000) * SUMIFS(MZ!$C:$C, MZ!$A:$A, "MZ 13", MZ!$B:$B, C5) * 0.732) + (F5 * SUMIFS(MZ!$C:$C, MZ!$A:$A, B5, MZ!$B:$B, C5)), R5 * SUMIFS(MZ!$C:$C, MZ!$A:$A, B5, MZ!$B:$B, C5)), IF((LEN(B5)-LEN(SUBSTITUTE(B5,"/","")))=2, (IF(VLOOKUP(LEFT(B5, 5), MF!$A:$D, 4, 0)="хлыст", F5 * ROUNDUP((E5*2/1000) / VLOOKUP(LEFT(B5, 5), MF!$A:$E, 5, 0), 0), (E5*2*F5/1000)) * SUMIFS(MF!$C:$C, MF!$A:$A, LEFT(B5, 5), MF!$B:$B, C5)) + (IF(VLOOKUP("MF "&amp;MID(B5, 7, 2), MF!$A:$D, 4, 0)="хлыст", F5 * ROUNDUP((D5/1000) / VLOOKUP("MF "&amp;MID(B5, 7, 2), MF!$A:$E, 5, 0), 0), (D5*F5/1000)) * SUMIFS(MF!$C:$C, MF!$A:$A, "MF "&amp;MID(B5, 7, 2), MF!$B:$B, C5)) + (IF(VLOOKUP("MF "&amp;RIGHT(B5, 2), MF!$A:$D, 4, 0)="хлыст", F5 * ROUNDUP((D5/1000) / VLOOKUP("MF "&amp;RIGHT(B5, 2), MF!$A:$E, 5, 0), 0), (D5*F5/1000)) * SUMIFS(MF!$C:$C, MF!$A:$A, "MF "&amp;RIGHT(B5, 2), MF!$B:$B, C5)), IF((LEN(B5)-LEN(SUBSTITUTE(B5,"/","")))=1, (IF(VLOOKUP(LEFT(B5, 5), MF!$A:$D, 4, 0)="хлыст", F5 * ROUNDUP(((R5/F5) - D5/1000) / VLOOKUP(LEFT(B5, 5), MF!$A:$E, 5, 0), 0), (R5 - D5*F5/1000)) * SUMIFS(MF!$C:$C, MF!$A:$A, LEFT(B5, 5), MF!$B:$B, C5)) + (IF(VLOOKUP("MF "&amp;RIGHT(B5, 2), MF!$A:$D, 4, 0)="хлыст", F5 * ROUNDUP((D5/1000) / VLOOKUP("MF "&amp;RIGHT(B5, 2), MF!$A:$E, 5, 0), 0), (D5*F5/1000)) * SUMIFS(MF!$C:$C, MF!$A:$A, "MF "&amp;RIGHT(B5, 2), MF!$B:$B, C5)), IF(VLOOKUP(B5, MF!$A:$D, 4, 0)="хлыст", F5 * ROUNDUP((R5/F5) / VLOOKUP(B5, MF!$A:$E, 5, 0), 0), R5) * SUMIFS(MF!$C:$C, MF!$A:$A, B5, MF!$B:$B, C5))))), 0)</f>
        <v>0</v>
      </c>
      <c r="X5" s="329">
        <f>IFERROR(IF(O5&lt;&gt;"ОК", 0, F5 * IF(AND(ISNUMBER(SEARCH("MZ", B5)), ISNUMBER(SEARCH("04", B5)), ISNUMBER(SEARCH("902", G5))), SUMIF(MZ!$A:$A, "Сборка*902*", MZ!$C:$C), IF(ISNUMBER(SEARCH("MF", B5)), IF(ISNUMBER(SEARCH("MF 2", B5)), IF(ISNUMBER(SEARCH("/", B5)), SUMIF(MF!$A:$A, "Сборка фасада MF20/2*", MF!$C:$C), SUMIF(MF!$A:$A, "Сборка фасада MF20", MF!$C:$C)), IF(OR(ISNUMBER(SEARCH("MF 5", B5)), ISNUMBER(SEARCH("MF 7", B5))), SUMIF(MF!$A:$A, "Сборка фасада MF50, MF70*", MF!$C:$C), IF(ISNUMBER(SEARCH("MF 6", B5)), SUMIF(MF!$A:$A, "Сборка фасада MF30, MF60*", MF!$C:$C), IF(ISNUMBER(SEARCH("/", B5)), SUMIF(MF!$A:$A, "Сборка фасада MF30/3*", MF!$C:$C), SUMIF(MF!$A:$A, "Сборка фасада MF30, MF60*", MF!$C:$C))))), SUMIF(MZ!$A:$A, "Сборка+уголки+фрез.под петли*", MZ!$C:$C)))), 0)</f>
        <v>0</v>
      </c>
      <c r="Y5" s="330">
        <f>IF(AND(O5="ОК", N5&gt;0), N5 * SUMIFS(СТЕКЛО!$C:$C, СТЕКЛО!$A:$A, "Втулки для отверстий в стекле"), 0)</f>
        <v>0</v>
      </c>
      <c r="Z5" s="331">
        <f>IF(O5="ОК", S5 * IFERROR(VLOOKUP(I5, СТЕКЛО!$A:$C, 3, 0), 0), 0)</f>
        <v>0</v>
      </c>
      <c r="AA5" s="332">
        <f>IF(O5="ОК", AF5 * SUMIFS(СТЕКЛО!$C:$C, СТЕКЛО!$A:$A, "Подгонка под Z-12, Z-17, Z-19, Z-20"), 0)</f>
        <v>0</v>
      </c>
      <c r="AB5" s="332">
        <f>IF(OR(O5&lt;&gt;"ОК", K5="", K5="без закалки", ISNUMBER(SEARCH("без", K5))), 0,
 (
   (MAX(0.3 * F5, S5) * IF(SUMIFS(СТЕКЛО!$C:$C, СТЕКЛО!$A:$A, "*Закалк*", СТЕКЛО!$B:$B, "4*")&gt;0,
                              SUMIFS(СТЕКЛО!$C:$C, СТЕКЛО!$A:$A, "*Закалк*", СТЕКЛО!$B:$B, "4*"),
                              SUMIF(СТЕКЛО!$A:$A, "*Закалк*", СТЕКЛО!$C:$C)))
   +
   (R5 * IF(SUMIFS(СТЕКЛО!$C:$C, СТЕКЛО!$A:$A, "*Шлифовк*", СТЕКЛО!$B:$B, "4*")&gt;0,
              SUMIFS(СТЕКЛО!$C:$C, СТЕКЛО!$A:$A, "*Шлифовк*", СТЕКЛО!$B:$B, "4*"),
              SUMIF(СТЕКЛО!$A:$A, "*Шлифовк*", СТЕКЛО!$C:$C)))
 )
 * (1 + IF(AND(MIN(D5, E5)&gt;=30, MIN(D5, E5)&lt;=100), 1, 0) + IF(MAX(D5, E5)&gt;=2500, 1, 0))
)</f>
        <v>0</v>
      </c>
      <c r="AC5" s="333">
        <f>IF(OR(O5&lt;&gt;"ОК", G5="", G5="без присадки", G5="без петель", G5="только присадка"), 0, IF(ISNUMBER(SEARCH("MF", B5)), IF(SUMIF(MF!$A:$A, G5, MF!$C:$C)&gt;0, SUMIF(MF!$A:$A, G5, MF!$C:$C), SUMIF(MZ!$A:$A, G5, MZ!$C:$C)), IF(SUMIF(MZ!$A:$A, G5, MZ!$C:$C)&gt;0, SUMIF(MZ!$A:$A, G5, MZ!$C:$C), SUMIF(MF!$A:$A, G5, MF!$C:$C))) * F5 * IF(OR(ISNUMBER(SEARCH("Salice AIR", G5)), ISNUMBER(SEARCH("(2шт)", G5))), H5, H5))</f>
        <v>0</v>
      </c>
      <c r="AD5" s="333">
        <f>IF(AND(O5="ОК", L5&gt;0, M5&lt;&gt;""), L5 * SUMIFS(СТЕКЛО!$C:$C, СТЕКЛО!$A:$A, "Сверление отверстий", СТЕКЛО!$B:$B, M5), 0)</f>
        <v>0</v>
      </c>
      <c r="AE5" s="333">
        <f>IF(AND(O5="ОК", J5&lt;&gt;"", J5&lt;&gt;"без оклейки"), S5 * IFERROR(VLOOKUP(J5, СТЕКЛО!$A:$C, 3, 0), 0), 0)</f>
        <v>0</v>
      </c>
      <c r="AF5" s="334">
        <f>IF(AND(ISNUMBER(MATCH(B5, {"MZ 12","MZ 17","MZ 19","MZ 20","MZ 20/21","MZ 20/22","MZ 20/25"}, 0)), I5&lt;&gt;"", I5&lt;&gt;"без наполнения"), R5, 0)</f>
        <v>0</v>
      </c>
      <c r="AG5" s="335" t="b">
        <f>IF((COUNTIFS(MZ!$A:$A, B5, MZ!$B:$B, C5) + COUNTIFS(MF!$A:$A, B5, MF!$B:$B, C5))&gt;0, TRUE, FALSE)</f>
        <v>0</v>
      </c>
      <c r="AH5" s="335" t="str">
        <f>IFERROR(VLOOKUP(B5, Данные!$B:$C, 2, 0), "")</f>
        <v>узкий</v>
      </c>
      <c r="AI5" s="335" t="str">
        <f>IFERROR(VLOOKUP(G5, Данные!$B:$C, 2, 0), "")</f>
        <v/>
      </c>
      <c r="AJ5" s="340" t="b">
        <f>IF(G5="без присадки", IF(IFERROR(VLOOKUP(B5, Данные!$B:$D, 3, 0), "")="можно без присадки", TRUE, FALSE), IF(OR(AH5=AI5, AI5="любой", G5="только присадка", G5=""), TRUE, FALSE))</f>
        <v>1</v>
      </c>
      <c r="AK5" s="388"/>
      <c r="AL5" s="343">
        <f t="shared" ref="AL5:AL16" si="1">IF(OR(I5="", I5="без наполнения"), R5 * (3/6), S5 * (40/4.09) + R5 * (3/6))</f>
        <v>0</v>
      </c>
    </row>
    <row r="6" spans="1:38" s="149" customFormat="1" ht="43.5" customHeight="1" thickBot="1">
      <c r="A6" s="344">
        <v>2</v>
      </c>
      <c r="B6" s="355"/>
      <c r="C6" s="325"/>
      <c r="D6" s="356"/>
      <c r="E6" s="356"/>
      <c r="F6" s="357"/>
      <c r="G6" s="355"/>
      <c r="H6" s="357"/>
      <c r="I6" s="355"/>
      <c r="J6" s="360"/>
      <c r="K6" s="360"/>
      <c r="L6" s="361"/>
      <c r="M6" s="362"/>
      <c r="N6" s="363"/>
      <c r="O6" s="342" t="str">
        <f>IF(OR(B6="", C6="", D6=0, E6=0, F6=0), "Сделайте выбор",
 IF(OR(D6&lt;200, E6&lt;200), "Мин. размер 200х200!",
 IF(NOT(AG6), "Ошибка цвета!",
 IF(IF(ISNUMBER(SEARCH("MF", B6)), SUMIFS(MF!$C:$C, MF!$A:$A, LEFT(B6, 5), MF!$B:$B, C6), SUMIFS(MZ!$C:$C, MZ!$A:$A, B6, MZ!$B:$B, C6))=0, "Нет актуальной цены!",
 IF(OR(AND(NOT(AJ6), NOT(AND(B6="MZ 04", ISNUMBER(SEARCH("902", G6))))), AND(ISNUMBER(SEARCH("MF20", SUBSTITUTE(G6, " ", ""))), NOT(ISNUMBER(SEARCH("MF 2", B6)))), AND(ISNUMBER(SEARCH("MF50", SUBSTITUTE(G6, " ", ""))), NOT(ISNUMBER(SEARCH("MF 5", B6)))), AND(ISNUMBER(SEARCH("MF70", SUBSTITUTE(G6, " ", ""))), NOT(ISNUMBER(SEARCH("MF 7", B6))))), "Петля не подходит!",
 IF(AND(K6&lt;&gt;"", K6&lt;&gt;"без закалки", OR(ISNUMBER(SEARCH("MF 2", B6)), ISNUMBER(SEARCH("MF 3", B6)))), "В этом профиле закалка невозможна!",
 IF(AND(K6&lt;&gt;"", K6&lt;&gt;"без закалки", ISNUMBER(SEARCH("нельзя закаливать", IFERROR(INDEX(Данные!$E:$E, MATCH(I6, Данные!$B:$B, 0)), "")))), "Это наполнение не закаливают!",
 "ОК")))))))</f>
        <v>Сделайте выбор</v>
      </c>
      <c r="P6" s="430">
        <f t="shared" ref="P6:P16" si="2">IF(O6="ОК",SUM(W6:AE6)*$O$1,0)</f>
        <v>0</v>
      </c>
      <c r="Q6" s="428">
        <f t="shared" ref="Q6:Q16" si="3">(P6-P6*0.2)*$Q$1</f>
        <v>0</v>
      </c>
      <c r="R6" s="337">
        <f>SUM(D6:E6)*2*F6/1000</f>
        <v>0</v>
      </c>
      <c r="S6" s="327">
        <f t="shared" si="0"/>
        <v>0</v>
      </c>
      <c r="T6" s="451">
        <f t="shared" ref="T6:T16" si="4">(W6+X6) * $O$1</f>
        <v>0</v>
      </c>
      <c r="U6" s="453">
        <f t="shared" ref="U6:U16" si="5">AC6*$O$1</f>
        <v>0</v>
      </c>
      <c r="V6" s="453">
        <f t="shared" ref="V6:V16" si="6">Z6*$O$1</f>
        <v>0</v>
      </c>
      <c r="W6" s="328">
        <f>IFERROR(IF(O6&lt;&gt;"ОК", 0, IF(NOT(ISNUMBER(SEARCH("MF", B6))), IF(ISNUMBER(SEARCH("13-01", B6)), ((R6 - D6*F6/1000) * SUMIFS(MZ!$C:$C, MZ!$A:$A, "MZ 13", MZ!$B:$B, C6) * 0.732) + (F6 * SUMIFS(MZ!$C:$C, MZ!$A:$A, B6, MZ!$B:$B, C6)), R6 * SUMIFS(MZ!$C:$C, MZ!$A:$A, B6, MZ!$B:$B, C6)), IF((LEN(B6)-LEN(SUBSTITUTE(B6,"/","")))=2, (IF(VLOOKUP(LEFT(B6, 5), MF!$A:$D, 4, 0)="хлыст", F6 * ROUNDUP((E6*2/1000) / VLOOKUP(LEFT(B6, 5), MF!$A:$E, 5, 0), 0), (E6*2*F6/1000)) * SUMIFS(MF!$C:$C, MF!$A:$A, LEFT(B6, 5), MF!$B:$B, C6)) + (IF(VLOOKUP("MF "&amp;MID(B6, 7, 2), MF!$A:$D, 4, 0)="хлыст", F6 * ROUNDUP((D6/1000) / VLOOKUP("MF "&amp;MID(B6, 7, 2), MF!$A:$E, 5, 0), 0), (D6*F6/1000)) * SUMIFS(MF!$C:$C, MF!$A:$A, "MF "&amp;MID(B6, 7, 2), MF!$B:$B, C6)) + (IF(VLOOKUP("MF "&amp;RIGHT(B6, 2), MF!$A:$D, 4, 0)="хлыст", F6 * ROUNDUP((D6/1000) / VLOOKUP("MF "&amp;RIGHT(B6, 2), MF!$A:$E, 5, 0), 0), (D6*F6/1000)) * SUMIFS(MF!$C:$C, MF!$A:$A, "MF "&amp;RIGHT(B6, 2), MF!$B:$B, C6)), IF((LEN(B6)-LEN(SUBSTITUTE(B6,"/","")))=1, (IF(VLOOKUP(LEFT(B6, 5), MF!$A:$D, 4, 0)="хлыст", F6 * ROUNDUP(((R6/F6) - D6/1000) / VLOOKUP(LEFT(B6, 5), MF!$A:$E, 5, 0), 0), (R6 - D6*F6/1000)) * SUMIFS(MF!$C:$C, MF!$A:$A, LEFT(B6, 5), MF!$B:$B, C6)) + (IF(VLOOKUP("MF "&amp;RIGHT(B6, 2), MF!$A:$D, 4, 0)="хлыст", F6 * ROUNDUP((D6/1000) / VLOOKUP("MF "&amp;RIGHT(B6, 2), MF!$A:$E, 5, 0), 0), (D6*F6/1000)) * SUMIFS(MF!$C:$C, MF!$A:$A, "MF "&amp;RIGHT(B6, 2), MF!$B:$B, C6)), IF(VLOOKUP(B6, MF!$A:$D, 4, 0)="хлыст", F6 * ROUNDUP((R6/F6) / VLOOKUP(B6, MF!$A:$E, 5, 0), 0), R6) * SUMIFS(MF!$C:$C, MF!$A:$A, B6, MF!$B:$B, C6))))), 0)</f>
        <v>0</v>
      </c>
      <c r="X6" s="329">
        <f>IFERROR(IF(O6&lt;&gt;"ОК", 0, F6 * IF(AND(ISNUMBER(SEARCH("MZ", B6)), ISNUMBER(SEARCH("04", B6)), ISNUMBER(SEARCH("902", G6))), SUMIF(MZ!$A:$A, "Сборка*902*", MZ!$C:$C), IF(ISNUMBER(SEARCH("MF", B6)), IF(ISNUMBER(SEARCH("MF 2", B6)), IF(ISNUMBER(SEARCH("/", B6)), SUMIF(MF!$A:$A, "Сборка фасада MF20/2*", MF!$C:$C), SUMIF(MF!$A:$A, "Сборка фасада MF20", MF!$C:$C)), IF(OR(ISNUMBER(SEARCH("MF 5", B6)), ISNUMBER(SEARCH("MF 7", B6))), SUMIF(MF!$A:$A, "Сборка фасада MF50, MF70*", MF!$C:$C), IF(ISNUMBER(SEARCH("MF 6", B6)), SUMIF(MF!$A:$A, "Сборка фасада MF30, MF60*", MF!$C:$C), IF(ISNUMBER(SEARCH("/", B6)), SUMIF(MF!$A:$A, "Сборка фасада MF30/3*", MF!$C:$C), SUMIF(MF!$A:$A, "Сборка фасада MF30, MF60*", MF!$C:$C))))), SUMIF(MZ!$A:$A, "Сборка+уголки+фрез.под петли*", MZ!$C:$C)))), 0)</f>
        <v>0</v>
      </c>
      <c r="Y6" s="330">
        <f>IF(AND(O6="ОК", N6&gt;0), N6 * SUMIFS(СТЕКЛО!$C:$C, СТЕКЛО!$A:$A, "Втулки для отверстий в стекле"), 0)</f>
        <v>0</v>
      </c>
      <c r="Z6" s="331">
        <f>IF(O6="ОК", S6 * IFERROR(VLOOKUP(I6, СТЕКЛО!$A:$C, 3, 0), 0), 0)</f>
        <v>0</v>
      </c>
      <c r="AA6" s="332">
        <f>IF(O6="ОК", AF6 * SUMIFS(СТЕКЛО!$C:$C, СТЕКЛО!$A:$A, "Подгонка под Z-12, Z-17, Z-19, Z-20"), 0)</f>
        <v>0</v>
      </c>
      <c r="AB6" s="332">
        <f>IF(OR(O6&lt;&gt;"ОК", K6="", K6="без закалки", ISNUMBER(SEARCH("без", K6))), 0,
 (
   (MAX(0.3 * F6, S6) * IF(SUMIFS(СТЕКЛО!$C:$C, СТЕКЛО!$A:$A, "*Закалк*", СТЕКЛО!$B:$B, "4*")&gt;0,
                              SUMIFS(СТЕКЛО!$C:$C, СТЕКЛО!$A:$A, "*Закалк*", СТЕКЛО!$B:$B, "4*"),
                              SUMIF(СТЕКЛО!$A:$A, "*Закалк*", СТЕКЛО!$C:$C)))
   +
   (R6 * IF(SUMIFS(СТЕКЛО!$C:$C, СТЕКЛО!$A:$A, "*Шлифовк*", СТЕКЛО!$B:$B, "4*")&gt;0,
              SUMIFS(СТЕКЛО!$C:$C, СТЕКЛО!$A:$A, "*Шлифовк*", СТЕКЛО!$B:$B, "4*"),
              SUMIF(СТЕКЛО!$A:$A, "*Шлифовк*", СТЕКЛО!$C:$C)))
 )
 * (1 + IF(AND(MIN(D6, E6)&gt;=30, MIN(D6, E6)&lt;=100), 1, 0) + IF(MAX(D6, E6)&gt;=2500, 1, 0))
)</f>
        <v>0</v>
      </c>
      <c r="AC6" s="333">
        <f>IF(OR(O6&lt;&gt;"ОК", G6="", G6="без присадки", G6="без петель", G6="только присадка"), 0, IF(ISNUMBER(SEARCH("MF", B6)), IF(SUMIF(MF!$A:$A, G6, MF!$C:$C)&gt;0, SUMIF(MF!$A:$A, G6, MF!$C:$C), SUMIF(MZ!$A:$A, G6, MZ!$C:$C)), IF(SUMIF(MZ!$A:$A, G6, MZ!$C:$C)&gt;0, SUMIF(MZ!$A:$A, G6, MZ!$C:$C), SUMIF(MF!$A:$A, G6, MF!$C:$C))) * F6 * IF(OR(ISNUMBER(SEARCH("Salice AIR", G6)), ISNUMBER(SEARCH("(2шт)", G6))), H6, H6))</f>
        <v>0</v>
      </c>
      <c r="AD6" s="333">
        <f>IF(AND(O6="ОК", L6&gt;0, M6&lt;&gt;""), L6 * SUMIFS(СТЕКЛО!$C:$C, СТЕКЛО!$A:$A, "Сверление отверстий", СТЕКЛО!$B:$B, M6), 0)</f>
        <v>0</v>
      </c>
      <c r="AE6" s="333">
        <f>IF(AND(O6="ОК", J6&lt;&gt;"", J6&lt;&gt;"без оклейки"), S6 * IFERROR(VLOOKUP(J6, СТЕКЛО!$A:$C, 3, 0), 0), 0)</f>
        <v>0</v>
      </c>
      <c r="AF6" s="334">
        <f>IF(AND(ISNUMBER(MATCH(B6, {"MZ 12","MZ 17","MZ 19","MZ 20","MZ 20/21","MZ 20/22","MZ 20/25"}, 0)), I6&lt;&gt;"", I6&lt;&gt;"без наполнения"), R6, 0)</f>
        <v>0</v>
      </c>
      <c r="AG6" s="335" t="b">
        <f>IF((COUNTIFS(MZ!$A:$A, B6, MZ!$B:$B, C6) + COUNTIFS(MF!$A:$A, B6, MF!$B:$B, C6))&gt;0, TRUE, FALSE)</f>
        <v>0</v>
      </c>
      <c r="AH6" s="335" t="str">
        <f>IFERROR(VLOOKUP(B6, Данные!$B:$C, 2, 0), "")</f>
        <v/>
      </c>
      <c r="AI6" s="335" t="str">
        <f>IFERROR(VLOOKUP(G6, Данные!$B:$C, 2, 0), "")</f>
        <v/>
      </c>
      <c r="AJ6" s="340" t="b">
        <f>IF(G6="без присадки", IF(IFERROR(VLOOKUP(B6, Данные!$B:$D, 3, 0), "")="можно без присадки", TRUE, FALSE), IF(OR(AH6=AI6, AI6="любой", G6="только присадка", G6=""), TRUE, FALSE))</f>
        <v>1</v>
      </c>
      <c r="AK6" s="364"/>
      <c r="AL6" s="343">
        <f t="shared" si="1"/>
        <v>0</v>
      </c>
    </row>
    <row r="7" spans="1:38" s="149" customFormat="1" ht="43.5" customHeight="1" thickBot="1">
      <c r="A7" s="344">
        <v>3</v>
      </c>
      <c r="B7" s="355"/>
      <c r="C7" s="325"/>
      <c r="D7" s="356"/>
      <c r="E7" s="356"/>
      <c r="F7" s="357"/>
      <c r="G7" s="355"/>
      <c r="H7" s="357"/>
      <c r="I7" s="355"/>
      <c r="J7" s="360"/>
      <c r="K7" s="360"/>
      <c r="L7" s="361"/>
      <c r="M7" s="362"/>
      <c r="N7" s="363"/>
      <c r="O7" s="342" t="str">
        <f>IF(OR(B7="", C7="", D7=0, E7=0, F7=0), "Сделайте выбор",
 IF(OR(D7&lt;200, E7&lt;200), "Мин. размер 200х200!",
 IF(NOT(AG7), "Ошибка цвета!",
 IF(IF(ISNUMBER(SEARCH("MF", B7)), SUMIFS(MF!$C:$C, MF!$A:$A, LEFT(B7, 5), MF!$B:$B, C7), SUMIFS(MZ!$C:$C, MZ!$A:$A, B7, MZ!$B:$B, C7))=0, "Нет актуальной цены!",
 IF(OR(AND(NOT(AJ7), NOT(AND(B7="MZ 04", ISNUMBER(SEARCH("902", G7))))), AND(ISNUMBER(SEARCH("MF20", SUBSTITUTE(G7, " ", ""))), NOT(ISNUMBER(SEARCH("MF 2", B7)))), AND(ISNUMBER(SEARCH("MF50", SUBSTITUTE(G7, " ", ""))), NOT(ISNUMBER(SEARCH("MF 5", B7)))), AND(ISNUMBER(SEARCH("MF70", SUBSTITUTE(G7, " ", ""))), NOT(ISNUMBER(SEARCH("MF 7", B7))))), "Петля не подходит!",
 IF(AND(K7&lt;&gt;"", K7&lt;&gt;"без закалки", OR(ISNUMBER(SEARCH("MF 2", B7)), ISNUMBER(SEARCH("MF 3", B7)))), "В этом профиле закалка невозможна!",
 IF(AND(K7&lt;&gt;"", K7&lt;&gt;"без закалки", ISNUMBER(SEARCH("нельзя закаливать", IFERROR(INDEX(Данные!$E:$E, MATCH(I7, Данные!$B:$B, 0)), "")))), "Это наполнение не закаливают!",
 "ОК")))))))</f>
        <v>Сделайте выбор</v>
      </c>
      <c r="P7" s="430">
        <f t="shared" si="2"/>
        <v>0</v>
      </c>
      <c r="Q7" s="428">
        <f t="shared" si="3"/>
        <v>0</v>
      </c>
      <c r="R7" s="337">
        <f>SUM(D7:E7)*2*F7/1000</f>
        <v>0</v>
      </c>
      <c r="S7" s="327">
        <f t="shared" si="0"/>
        <v>0</v>
      </c>
      <c r="T7" s="451">
        <f t="shared" si="4"/>
        <v>0</v>
      </c>
      <c r="U7" s="453">
        <f t="shared" si="5"/>
        <v>0</v>
      </c>
      <c r="V7" s="453">
        <f t="shared" si="6"/>
        <v>0</v>
      </c>
      <c r="W7" s="328">
        <f>IFERROR(IF(O7&lt;&gt;"ОК", 0, IF(NOT(ISNUMBER(SEARCH("MF", B7))), IF(ISNUMBER(SEARCH("13-01", B7)), ((R7 - D7*F7/1000) * SUMIFS(MZ!$C:$C, MZ!$A:$A, "MZ 13", MZ!$B:$B, C7) * 0.732) + (F7 * SUMIFS(MZ!$C:$C, MZ!$A:$A, B7, MZ!$B:$B, C7)), R7 * SUMIFS(MZ!$C:$C, MZ!$A:$A, B7, MZ!$B:$B, C7)), IF((LEN(B7)-LEN(SUBSTITUTE(B7,"/","")))=2, (IF(VLOOKUP(LEFT(B7, 5), MF!$A:$D, 4, 0)="хлыст", F7 * ROUNDUP((E7*2/1000) / VLOOKUP(LEFT(B7, 5), MF!$A:$E, 5, 0), 0), (E7*2*F7/1000)) * SUMIFS(MF!$C:$C, MF!$A:$A, LEFT(B7, 5), MF!$B:$B, C7)) + (IF(VLOOKUP("MF "&amp;MID(B7, 7, 2), MF!$A:$D, 4, 0)="хлыст", F7 * ROUNDUP((D7/1000) / VLOOKUP("MF "&amp;MID(B7, 7, 2), MF!$A:$E, 5, 0), 0), (D7*F7/1000)) * SUMIFS(MF!$C:$C, MF!$A:$A, "MF "&amp;MID(B7, 7, 2), MF!$B:$B, C7)) + (IF(VLOOKUP("MF "&amp;RIGHT(B7, 2), MF!$A:$D, 4, 0)="хлыст", F7 * ROUNDUP((D7/1000) / VLOOKUP("MF "&amp;RIGHT(B7, 2), MF!$A:$E, 5, 0), 0), (D7*F7/1000)) * SUMIFS(MF!$C:$C, MF!$A:$A, "MF "&amp;RIGHT(B7, 2), MF!$B:$B, C7)), IF((LEN(B7)-LEN(SUBSTITUTE(B7,"/","")))=1, (IF(VLOOKUP(LEFT(B7, 5), MF!$A:$D, 4, 0)="хлыст", F7 * ROUNDUP(((R7/F7) - D7/1000) / VLOOKUP(LEFT(B7, 5), MF!$A:$E, 5, 0), 0), (R7 - D7*F7/1000)) * SUMIFS(MF!$C:$C, MF!$A:$A, LEFT(B7, 5), MF!$B:$B, C7)) + (IF(VLOOKUP("MF "&amp;RIGHT(B7, 2), MF!$A:$D, 4, 0)="хлыст", F7 * ROUNDUP((D7/1000) / VLOOKUP("MF "&amp;RIGHT(B7, 2), MF!$A:$E, 5, 0), 0), (D7*F7/1000)) * SUMIFS(MF!$C:$C, MF!$A:$A, "MF "&amp;RIGHT(B7, 2), MF!$B:$B, C7)), IF(VLOOKUP(B7, MF!$A:$D, 4, 0)="хлыст", F7 * ROUNDUP((R7/F7) / VLOOKUP(B7, MF!$A:$E, 5, 0), 0), R7) * SUMIFS(MF!$C:$C, MF!$A:$A, B7, MF!$B:$B, C7))))), 0)</f>
        <v>0</v>
      </c>
      <c r="X7" s="329">
        <f>IFERROR(IF(O7&lt;&gt;"ОК", 0, F7 * IF(AND(ISNUMBER(SEARCH("MZ", B7)), ISNUMBER(SEARCH("04", B7)), ISNUMBER(SEARCH("902", G7))), SUMIF(MZ!$A:$A, "Сборка*902*", MZ!$C:$C), IF(ISNUMBER(SEARCH("MF", B7)), IF(ISNUMBER(SEARCH("MF 2", B7)), IF(ISNUMBER(SEARCH("/", B7)), SUMIF(MF!$A:$A, "Сборка фасада MF20/2*", MF!$C:$C), SUMIF(MF!$A:$A, "Сборка фасада MF20", MF!$C:$C)), IF(OR(ISNUMBER(SEARCH("MF 5", B7)), ISNUMBER(SEARCH("MF 7", B7))), SUMIF(MF!$A:$A, "Сборка фасада MF50, MF70*", MF!$C:$C), IF(ISNUMBER(SEARCH("MF 6", B7)), SUMIF(MF!$A:$A, "Сборка фасада MF30, MF60*", MF!$C:$C), IF(ISNUMBER(SEARCH("/", B7)), SUMIF(MF!$A:$A, "Сборка фасада MF30/3*", MF!$C:$C), SUMIF(MF!$A:$A, "Сборка фасада MF30, MF60*", MF!$C:$C))))), SUMIF(MZ!$A:$A, "Сборка+уголки+фрез.под петли*", MZ!$C:$C)))), 0)</f>
        <v>0</v>
      </c>
      <c r="Y7" s="330">
        <f>IF(AND(O7="ОК", N7&gt;0), N7 * SUMIFS(СТЕКЛО!$C:$C, СТЕКЛО!$A:$A, "Втулки для отверстий в стекле"), 0)</f>
        <v>0</v>
      </c>
      <c r="Z7" s="331">
        <f>IF(O7="ОК", S7 * IFERROR(VLOOKUP(I7, СТЕКЛО!$A:$C, 3, 0), 0), 0)</f>
        <v>0</v>
      </c>
      <c r="AA7" s="332">
        <f>IF(O7="ОК", AF7 * SUMIFS(СТЕКЛО!$C:$C, СТЕКЛО!$A:$A, "Подгонка под Z-12, Z-17, Z-19, Z-20"), 0)</f>
        <v>0</v>
      </c>
      <c r="AB7" s="332">
        <f>IF(OR(O7&lt;&gt;"ОК", K7="", K7="без закалки", ISNUMBER(SEARCH("без", K7))), 0,
 (
   (MAX(0.3 * F7, S7) * IF(SUMIFS(СТЕКЛО!$C:$C, СТЕКЛО!$A:$A, "*Закалк*", СТЕКЛО!$B:$B, "4*")&gt;0,
                              SUMIFS(СТЕКЛО!$C:$C, СТЕКЛО!$A:$A, "*Закалк*", СТЕКЛО!$B:$B, "4*"),
                              SUMIF(СТЕКЛО!$A:$A, "*Закалк*", СТЕКЛО!$C:$C)))
   +
   (R7 * IF(SUMIFS(СТЕКЛО!$C:$C, СТЕКЛО!$A:$A, "*Шлифовк*", СТЕКЛО!$B:$B, "4*")&gt;0,
              SUMIFS(СТЕКЛО!$C:$C, СТЕКЛО!$A:$A, "*Шлифовк*", СТЕКЛО!$B:$B, "4*"),
              SUMIF(СТЕКЛО!$A:$A, "*Шлифовк*", СТЕКЛО!$C:$C)))
 )
 * (1 + IF(AND(MIN(D7, E7)&gt;=30, MIN(D7, E7)&lt;=100), 1, 0) + IF(MAX(D7, E7)&gt;=2500, 1, 0))
)</f>
        <v>0</v>
      </c>
      <c r="AC7" s="333">
        <f>IF(OR(O7&lt;&gt;"ОК", G7="", G7="без присадки", G7="без петель", G7="только присадка"), 0, IF(ISNUMBER(SEARCH("MF", B7)), IF(SUMIF(MF!$A:$A, G7, MF!$C:$C)&gt;0, SUMIF(MF!$A:$A, G7, MF!$C:$C), SUMIF(MZ!$A:$A, G7, MZ!$C:$C)), IF(SUMIF(MZ!$A:$A, G7, MZ!$C:$C)&gt;0, SUMIF(MZ!$A:$A, G7, MZ!$C:$C), SUMIF(MF!$A:$A, G7, MF!$C:$C))) * F7 * IF(OR(ISNUMBER(SEARCH("Salice AIR", G7)), ISNUMBER(SEARCH("(2шт)", G7))), H7, H7))</f>
        <v>0</v>
      </c>
      <c r="AD7" s="333">
        <f>IF(AND(O7="ОК", L7&gt;0, M7&lt;&gt;""), L7 * SUMIFS(СТЕКЛО!$C:$C, СТЕКЛО!$A:$A, "Сверление отверстий", СТЕКЛО!$B:$B, M7), 0)</f>
        <v>0</v>
      </c>
      <c r="AE7" s="333">
        <f>IF(AND(O7="ОК", J7&lt;&gt;"", J7&lt;&gt;"без оклейки"), S7 * IFERROR(VLOOKUP(J7, СТЕКЛО!$A:$C, 3, 0), 0), 0)</f>
        <v>0</v>
      </c>
      <c r="AF7" s="334">
        <f>IF(AND(ISNUMBER(MATCH(B7, {"MZ 12","MZ 17","MZ 19","MZ 20","MZ 20/21","MZ 20/22","MZ 20/25"}, 0)), I7&lt;&gt;"", I7&lt;&gt;"без наполнения"), R7, 0)</f>
        <v>0</v>
      </c>
      <c r="AG7" s="335" t="b">
        <f>IF((COUNTIFS(MZ!$A:$A, B7, MZ!$B:$B, C7) + COUNTIFS(MF!$A:$A, B7, MF!$B:$B, C7))&gt;0, TRUE, FALSE)</f>
        <v>0</v>
      </c>
      <c r="AH7" s="335" t="str">
        <f>IFERROR(VLOOKUP(B7, Данные!$B:$C, 2, 0), "")</f>
        <v/>
      </c>
      <c r="AI7" s="335" t="str">
        <f>IFERROR(VLOOKUP(G7, Данные!$B:$C, 2, 0), "")</f>
        <v/>
      </c>
      <c r="AJ7" s="340" t="b">
        <f>IF(G7="без присадки", IF(IFERROR(VLOOKUP(B7, Данные!$B:$D, 3, 0), "")="можно без присадки", TRUE, FALSE), IF(OR(AH7=AI7, AI7="любой", G7="только присадка", G7=""), TRUE, FALSE))</f>
        <v>1</v>
      </c>
      <c r="AK7" s="364"/>
      <c r="AL7" s="343">
        <f t="shared" si="1"/>
        <v>0</v>
      </c>
    </row>
    <row r="8" spans="1:38" s="149" customFormat="1" ht="43.5" customHeight="1" thickBot="1">
      <c r="A8" s="344">
        <v>4</v>
      </c>
      <c r="B8" s="355"/>
      <c r="C8" s="325"/>
      <c r="D8" s="356"/>
      <c r="E8" s="356"/>
      <c r="F8" s="357"/>
      <c r="G8" s="355"/>
      <c r="H8" s="357"/>
      <c r="I8" s="355"/>
      <c r="J8" s="360"/>
      <c r="K8" s="360"/>
      <c r="L8" s="361"/>
      <c r="M8" s="362"/>
      <c r="N8" s="363"/>
      <c r="O8" s="342" t="str">
        <f>IF(OR(B8="", C8="", D8=0, E8=0, F8=0), "Сделайте выбор",
 IF(OR(D8&lt;200, E8&lt;200), "Мин. размер 200х200!",
 IF(NOT(AG8), "Ошибка цвета!",
 IF(IF(ISNUMBER(SEARCH("MF", B8)), SUMIFS(MF!$C:$C, MF!$A:$A, LEFT(B8, 5), MF!$B:$B, C8), SUMIFS(MZ!$C:$C, MZ!$A:$A, B8, MZ!$B:$B, C8))=0, "Нет актуальной цены!",
 IF(OR(AND(NOT(AJ8), NOT(AND(B8="MZ 04", ISNUMBER(SEARCH("902", G8))))), AND(ISNUMBER(SEARCH("MF20", SUBSTITUTE(G8, " ", ""))), NOT(ISNUMBER(SEARCH("MF 2", B8)))), AND(ISNUMBER(SEARCH("MF50", SUBSTITUTE(G8, " ", ""))), NOT(ISNUMBER(SEARCH("MF 5", B8)))), AND(ISNUMBER(SEARCH("MF70", SUBSTITUTE(G8, " ", ""))), NOT(ISNUMBER(SEARCH("MF 7", B8))))), "Петля не подходит!",
 IF(AND(K8&lt;&gt;"", K8&lt;&gt;"без закалки", OR(ISNUMBER(SEARCH("MF 2", B8)), ISNUMBER(SEARCH("MF 3", B8)))), "В этом профиле закалка невозможна!",
 IF(AND(K8&lt;&gt;"", K8&lt;&gt;"без закалки", ISNUMBER(SEARCH("нельзя закаливать", IFERROR(INDEX(Данные!$E:$E, MATCH(I8, Данные!$B:$B, 0)), "")))), "Это наполнение не закаливают!",
 "ОК")))))))</f>
        <v>Сделайте выбор</v>
      </c>
      <c r="P8" s="430">
        <f t="shared" si="2"/>
        <v>0</v>
      </c>
      <c r="Q8" s="428">
        <f t="shared" si="3"/>
        <v>0</v>
      </c>
      <c r="R8" s="337">
        <f t="shared" ref="R8:R16" si="7">SUM(D8:E8)*2*F8/1000</f>
        <v>0</v>
      </c>
      <c r="S8" s="327">
        <f t="shared" si="0"/>
        <v>0</v>
      </c>
      <c r="T8" s="451">
        <f t="shared" si="4"/>
        <v>0</v>
      </c>
      <c r="U8" s="453">
        <f t="shared" si="5"/>
        <v>0</v>
      </c>
      <c r="V8" s="453">
        <f t="shared" si="6"/>
        <v>0</v>
      </c>
      <c r="W8" s="328">
        <f>IFERROR(IF(O8&lt;&gt;"ОК", 0, IF(NOT(ISNUMBER(SEARCH("MF", B8))), IF(ISNUMBER(SEARCH("13-01", B8)), ((R8 - D8*F8/1000) * SUMIFS(MZ!$C:$C, MZ!$A:$A, "MZ 13", MZ!$B:$B, C8) * 0.732) + (F8 * SUMIFS(MZ!$C:$C, MZ!$A:$A, B8, MZ!$B:$B, C8)), R8 * SUMIFS(MZ!$C:$C, MZ!$A:$A, B8, MZ!$B:$B, C8)), IF((LEN(B8)-LEN(SUBSTITUTE(B8,"/","")))=2, (IF(VLOOKUP(LEFT(B8, 5), MF!$A:$D, 4, 0)="хлыст", F8 * ROUNDUP((E8*2/1000) / VLOOKUP(LEFT(B8, 5), MF!$A:$E, 5, 0), 0), (E8*2*F8/1000)) * SUMIFS(MF!$C:$C, MF!$A:$A, LEFT(B8, 5), MF!$B:$B, C8)) + (IF(VLOOKUP("MF "&amp;MID(B8, 7, 2), MF!$A:$D, 4, 0)="хлыст", F8 * ROUNDUP((D8/1000) / VLOOKUP("MF "&amp;MID(B8, 7, 2), MF!$A:$E, 5, 0), 0), (D8*F8/1000)) * SUMIFS(MF!$C:$C, MF!$A:$A, "MF "&amp;MID(B8, 7, 2), MF!$B:$B, C8)) + (IF(VLOOKUP("MF "&amp;RIGHT(B8, 2), MF!$A:$D, 4, 0)="хлыст", F8 * ROUNDUP((D8/1000) / VLOOKUP("MF "&amp;RIGHT(B8, 2), MF!$A:$E, 5, 0), 0), (D8*F8/1000)) * SUMIFS(MF!$C:$C, MF!$A:$A, "MF "&amp;RIGHT(B8, 2), MF!$B:$B, C8)), IF((LEN(B8)-LEN(SUBSTITUTE(B8,"/","")))=1, (IF(VLOOKUP(LEFT(B8, 5), MF!$A:$D, 4, 0)="хлыст", F8 * ROUNDUP(((R8/F8) - D8/1000) / VLOOKUP(LEFT(B8, 5), MF!$A:$E, 5, 0), 0), (R8 - D8*F8/1000)) * SUMIFS(MF!$C:$C, MF!$A:$A, LEFT(B8, 5), MF!$B:$B, C8)) + (IF(VLOOKUP("MF "&amp;RIGHT(B8, 2), MF!$A:$D, 4, 0)="хлыст", F8 * ROUNDUP((D8/1000) / VLOOKUP("MF "&amp;RIGHT(B8, 2), MF!$A:$E, 5, 0), 0), (D8*F8/1000)) * SUMIFS(MF!$C:$C, MF!$A:$A, "MF "&amp;RIGHT(B8, 2), MF!$B:$B, C8)), IF(VLOOKUP(B8, MF!$A:$D, 4, 0)="хлыст", F8 * ROUNDUP((R8/F8) / VLOOKUP(B8, MF!$A:$E, 5, 0), 0), R8) * SUMIFS(MF!$C:$C, MF!$A:$A, B8, MF!$B:$B, C8))))), 0)</f>
        <v>0</v>
      </c>
      <c r="X8" s="329">
        <f>IFERROR(IF(O8&lt;&gt;"ОК", 0, F8 * IF(AND(ISNUMBER(SEARCH("MZ", B8)), ISNUMBER(SEARCH("04", B8)), ISNUMBER(SEARCH("902", G8))), SUMIF(MZ!$A:$A, "Сборка*902*", MZ!$C:$C), IF(ISNUMBER(SEARCH("MF", B8)), IF(ISNUMBER(SEARCH("MF 2", B8)), IF(ISNUMBER(SEARCH("/", B8)), SUMIF(MF!$A:$A, "Сборка фасада MF20/2*", MF!$C:$C), SUMIF(MF!$A:$A, "Сборка фасада MF20", MF!$C:$C)), IF(OR(ISNUMBER(SEARCH("MF 5", B8)), ISNUMBER(SEARCH("MF 7", B8))), SUMIF(MF!$A:$A, "Сборка фасада MF50, MF70*", MF!$C:$C), IF(ISNUMBER(SEARCH("MF 6", B8)), SUMIF(MF!$A:$A, "Сборка фасада MF30, MF60*", MF!$C:$C), IF(ISNUMBER(SEARCH("/", B8)), SUMIF(MF!$A:$A, "Сборка фасада MF30/3*", MF!$C:$C), SUMIF(MF!$A:$A, "Сборка фасада MF30, MF60*", MF!$C:$C))))), SUMIF(MZ!$A:$A, "Сборка+уголки+фрез.под петли*", MZ!$C:$C)))), 0)</f>
        <v>0</v>
      </c>
      <c r="Y8" s="330">
        <f>IF(AND(O8="ОК", N8&gt;0), N8 * SUMIFS(СТЕКЛО!$C:$C, СТЕКЛО!$A:$A, "Втулки для отверстий в стекле"), 0)</f>
        <v>0</v>
      </c>
      <c r="Z8" s="331">
        <f>IF(O8="ОК", S8 * IFERROR(VLOOKUP(I8, СТЕКЛО!$A:$C, 3, 0), 0), 0)</f>
        <v>0</v>
      </c>
      <c r="AA8" s="332">
        <f>IF(O8="ОК", AF8 * SUMIFS(СТЕКЛО!$C:$C, СТЕКЛО!$A:$A, "Подгонка под Z-12, Z-17, Z-19, Z-20"), 0)</f>
        <v>0</v>
      </c>
      <c r="AB8" s="332">
        <f>IF(OR(O8&lt;&gt;"ОК", K8="", K8="без закалки", ISNUMBER(SEARCH("без", K8))), 0,
 (
   (MAX(0.3 * F8, S8) * IF(SUMIFS(СТЕКЛО!$C:$C, СТЕКЛО!$A:$A, "*Закалк*", СТЕКЛО!$B:$B, "4*")&gt;0,
                              SUMIFS(СТЕКЛО!$C:$C, СТЕКЛО!$A:$A, "*Закалк*", СТЕКЛО!$B:$B, "4*"),
                              SUMIF(СТЕКЛО!$A:$A, "*Закалк*", СТЕКЛО!$C:$C)))
   +
   (R8 * IF(SUMIFS(СТЕКЛО!$C:$C, СТЕКЛО!$A:$A, "*Шлифовк*", СТЕКЛО!$B:$B, "4*")&gt;0,
              SUMIFS(СТЕКЛО!$C:$C, СТЕКЛО!$A:$A, "*Шлифовк*", СТЕКЛО!$B:$B, "4*"),
              SUMIF(СТЕКЛО!$A:$A, "*Шлифовк*", СТЕКЛО!$C:$C)))
 )
 * (1 + IF(AND(MIN(D8, E8)&gt;=30, MIN(D8, E8)&lt;=100), 1, 0) + IF(MAX(D8, E8)&gt;=2500, 1, 0))
)</f>
        <v>0</v>
      </c>
      <c r="AC8" s="333">
        <f>IF(OR(O8&lt;&gt;"ОК", G8="", G8="без присадки", G8="без петель", G8="только присадка"), 0, IF(ISNUMBER(SEARCH("MF", B8)), IF(SUMIF(MF!$A:$A, G8, MF!$C:$C)&gt;0, SUMIF(MF!$A:$A, G8, MF!$C:$C), SUMIF(MZ!$A:$A, G8, MZ!$C:$C)), IF(SUMIF(MZ!$A:$A, G8, MZ!$C:$C)&gt;0, SUMIF(MZ!$A:$A, G8, MZ!$C:$C), SUMIF(MF!$A:$A, G8, MF!$C:$C))) * F8 * IF(OR(ISNUMBER(SEARCH("Salice AIR", G8)), ISNUMBER(SEARCH("(2шт)", G8))), H8, H8))</f>
        <v>0</v>
      </c>
      <c r="AD8" s="333">
        <f>IF(AND(O8="ОК", L8&gt;0, M8&lt;&gt;""), L8 * SUMIFS(СТЕКЛО!$C:$C, СТЕКЛО!$A:$A, "Сверление отверстий", СТЕКЛО!$B:$B, M8), 0)</f>
        <v>0</v>
      </c>
      <c r="AE8" s="333">
        <f>IF(AND(O8="ОК", J8&lt;&gt;"", J8&lt;&gt;"без оклейки"), S8 * IFERROR(VLOOKUP(J8, СТЕКЛО!$A:$C, 3, 0), 0), 0)</f>
        <v>0</v>
      </c>
      <c r="AF8" s="334">
        <f>IF(AND(ISNUMBER(MATCH(B8, {"MZ 12","MZ 17","MZ 19","MZ 20","MZ 20/21","MZ 20/22","MZ 20/25"}, 0)), I8&lt;&gt;"", I8&lt;&gt;"без наполнения"), R8, 0)</f>
        <v>0</v>
      </c>
      <c r="AG8" s="335" t="b">
        <f>IF((COUNTIFS(MZ!$A:$A, B8, MZ!$B:$B, C8) + COUNTIFS(MF!$A:$A, B8, MF!$B:$B, C8))&gt;0, TRUE, FALSE)</f>
        <v>0</v>
      </c>
      <c r="AH8" s="335" t="str">
        <f>IFERROR(VLOOKUP(B8, Данные!$B:$C, 2, 0), "")</f>
        <v/>
      </c>
      <c r="AI8" s="335" t="str">
        <f>IFERROR(VLOOKUP(G8, Данные!$B:$C, 2, 0), "")</f>
        <v/>
      </c>
      <c r="AJ8" s="340" t="b">
        <f>IF(G8="без присадки", IF(IFERROR(VLOOKUP(B8, Данные!$B:$D, 3, 0), "")="можно без присадки", TRUE, FALSE), IF(OR(AH8=AI8, AI8="любой", G8="только присадка", G8=""), TRUE, FALSE))</f>
        <v>1</v>
      </c>
      <c r="AK8" s="364"/>
      <c r="AL8" s="343">
        <f t="shared" si="1"/>
        <v>0</v>
      </c>
    </row>
    <row r="9" spans="1:38" s="149" customFormat="1" ht="43.5" customHeight="1" thickBot="1">
      <c r="A9" s="344">
        <v>5</v>
      </c>
      <c r="B9" s="355"/>
      <c r="C9" s="325"/>
      <c r="D9" s="356"/>
      <c r="E9" s="356"/>
      <c r="F9" s="357"/>
      <c r="G9" s="355"/>
      <c r="H9" s="357"/>
      <c r="I9" s="355"/>
      <c r="J9" s="360"/>
      <c r="K9" s="360"/>
      <c r="L9" s="361"/>
      <c r="M9" s="362"/>
      <c r="N9" s="363"/>
      <c r="O9" s="342" t="str">
        <f>IF(OR(B9="", C9="", D9=0, E9=0, F9=0), "Сделайте выбор",
 IF(OR(D9&lt;200, E9&lt;200), "Мин. размер 200х200!",
 IF(NOT(AG9), "Ошибка цвета!",
 IF(IF(ISNUMBER(SEARCH("MF", B9)), SUMIFS(MF!$C:$C, MF!$A:$A, LEFT(B9, 5), MF!$B:$B, C9), SUMIFS(MZ!$C:$C, MZ!$A:$A, B9, MZ!$B:$B, C9))=0, "Нет актуальной цены!",
 IF(OR(AND(NOT(AJ9), NOT(AND(B9="MZ 04", ISNUMBER(SEARCH("902", G9))))), AND(ISNUMBER(SEARCH("MF20", SUBSTITUTE(G9, " ", ""))), NOT(ISNUMBER(SEARCH("MF 2", B9)))), AND(ISNUMBER(SEARCH("MF50", SUBSTITUTE(G9, " ", ""))), NOT(ISNUMBER(SEARCH("MF 5", B9)))), AND(ISNUMBER(SEARCH("MF70", SUBSTITUTE(G9, " ", ""))), NOT(ISNUMBER(SEARCH("MF 7", B9))))), "Петля не подходит!",
 IF(AND(K9&lt;&gt;"", K9&lt;&gt;"без закалки", OR(ISNUMBER(SEARCH("MF 2", B9)), ISNUMBER(SEARCH("MF 3", B9)))), "В этом профиле закалка невозможна!",
 IF(AND(K9&lt;&gt;"", K9&lt;&gt;"без закалки", ISNUMBER(SEARCH("нельзя закаливать", IFERROR(INDEX(Данные!$E:$E, MATCH(I9, Данные!$B:$B, 0)), "")))), "Это наполнение не закаливают!",
 "ОК")))))))</f>
        <v>Сделайте выбор</v>
      </c>
      <c r="P9" s="430">
        <f t="shared" si="2"/>
        <v>0</v>
      </c>
      <c r="Q9" s="428">
        <f t="shared" si="3"/>
        <v>0</v>
      </c>
      <c r="R9" s="337">
        <f t="shared" si="7"/>
        <v>0</v>
      </c>
      <c r="S9" s="327">
        <f t="shared" si="0"/>
        <v>0</v>
      </c>
      <c r="T9" s="451">
        <f t="shared" si="4"/>
        <v>0</v>
      </c>
      <c r="U9" s="453">
        <f t="shared" si="5"/>
        <v>0</v>
      </c>
      <c r="V9" s="453">
        <f t="shared" si="6"/>
        <v>0</v>
      </c>
      <c r="W9" s="328">
        <f>IFERROR(IF(O9&lt;&gt;"ОК", 0, IF(NOT(ISNUMBER(SEARCH("MF", B9))), IF(ISNUMBER(SEARCH("13-01", B9)), ((R9 - D9*F9/1000) * SUMIFS(MZ!$C:$C, MZ!$A:$A, "MZ 13", MZ!$B:$B, C9) * 0.732) + (F9 * SUMIFS(MZ!$C:$C, MZ!$A:$A, B9, MZ!$B:$B, C9)), R9 * SUMIFS(MZ!$C:$C, MZ!$A:$A, B9, MZ!$B:$B, C9)), IF((LEN(B9)-LEN(SUBSTITUTE(B9,"/","")))=2, (IF(VLOOKUP(LEFT(B9, 5), MF!$A:$D, 4, 0)="хлыст", F9 * ROUNDUP((E9*2/1000) / VLOOKUP(LEFT(B9, 5), MF!$A:$E, 5, 0), 0), (E9*2*F9/1000)) * SUMIFS(MF!$C:$C, MF!$A:$A, LEFT(B9, 5), MF!$B:$B, C9)) + (IF(VLOOKUP("MF "&amp;MID(B9, 7, 2), MF!$A:$D, 4, 0)="хлыст", F9 * ROUNDUP((D9/1000) / VLOOKUP("MF "&amp;MID(B9, 7, 2), MF!$A:$E, 5, 0), 0), (D9*F9/1000)) * SUMIFS(MF!$C:$C, MF!$A:$A, "MF "&amp;MID(B9, 7, 2), MF!$B:$B, C9)) + (IF(VLOOKUP("MF "&amp;RIGHT(B9, 2), MF!$A:$D, 4, 0)="хлыст", F9 * ROUNDUP((D9/1000) / VLOOKUP("MF "&amp;RIGHT(B9, 2), MF!$A:$E, 5, 0), 0), (D9*F9/1000)) * SUMIFS(MF!$C:$C, MF!$A:$A, "MF "&amp;RIGHT(B9, 2), MF!$B:$B, C9)), IF((LEN(B9)-LEN(SUBSTITUTE(B9,"/","")))=1, (IF(VLOOKUP(LEFT(B9, 5), MF!$A:$D, 4, 0)="хлыст", F9 * ROUNDUP(((R9/F9) - D9/1000) / VLOOKUP(LEFT(B9, 5), MF!$A:$E, 5, 0), 0), (R9 - D9*F9/1000)) * SUMIFS(MF!$C:$C, MF!$A:$A, LEFT(B9, 5), MF!$B:$B, C9)) + (IF(VLOOKUP("MF "&amp;RIGHT(B9, 2), MF!$A:$D, 4, 0)="хлыст", F9 * ROUNDUP((D9/1000) / VLOOKUP("MF "&amp;RIGHT(B9, 2), MF!$A:$E, 5, 0), 0), (D9*F9/1000)) * SUMIFS(MF!$C:$C, MF!$A:$A, "MF "&amp;RIGHT(B9, 2), MF!$B:$B, C9)), IF(VLOOKUP(B9, MF!$A:$D, 4, 0)="хлыст", F9 * ROUNDUP((R9/F9) / VLOOKUP(B9, MF!$A:$E, 5, 0), 0), R9) * SUMIFS(MF!$C:$C, MF!$A:$A, B9, MF!$B:$B, C9))))), 0)</f>
        <v>0</v>
      </c>
      <c r="X9" s="329">
        <f>IFERROR(IF(O9&lt;&gt;"ОК", 0, F9 * IF(AND(ISNUMBER(SEARCH("MZ", B9)), ISNUMBER(SEARCH("04", B9)), ISNUMBER(SEARCH("902", G9))), SUMIF(MZ!$A:$A, "Сборка*902*", MZ!$C:$C), IF(ISNUMBER(SEARCH("MF", B9)), IF(ISNUMBER(SEARCH("MF 2", B9)), IF(ISNUMBER(SEARCH("/", B9)), SUMIF(MF!$A:$A, "Сборка фасада MF20/2*", MF!$C:$C), SUMIF(MF!$A:$A, "Сборка фасада MF20", MF!$C:$C)), IF(OR(ISNUMBER(SEARCH("MF 5", B9)), ISNUMBER(SEARCH("MF 7", B9))), SUMIF(MF!$A:$A, "Сборка фасада MF50, MF70*", MF!$C:$C), IF(ISNUMBER(SEARCH("MF 6", B9)), SUMIF(MF!$A:$A, "Сборка фасада MF30, MF60*", MF!$C:$C), IF(ISNUMBER(SEARCH("/", B9)), SUMIF(MF!$A:$A, "Сборка фасада MF30/3*", MF!$C:$C), SUMIF(MF!$A:$A, "Сборка фасада MF30, MF60*", MF!$C:$C))))), SUMIF(MZ!$A:$A, "Сборка+уголки+фрез.под петли*", MZ!$C:$C)))), 0)</f>
        <v>0</v>
      </c>
      <c r="Y9" s="330">
        <f>IF(AND(O9="ОК", N9&gt;0), N9 * SUMIFS(СТЕКЛО!$C:$C, СТЕКЛО!$A:$A, "Втулки для отверстий в стекле"), 0)</f>
        <v>0</v>
      </c>
      <c r="Z9" s="331">
        <f>IF(O9="ОК", S9 * IFERROR(VLOOKUP(I9, СТЕКЛО!$A:$C, 3, 0), 0), 0)</f>
        <v>0</v>
      </c>
      <c r="AA9" s="332">
        <f>IF(O9="ОК", AF9 * SUMIFS(СТЕКЛО!$C:$C, СТЕКЛО!$A:$A, "Подгонка под Z-12, Z-17, Z-19, Z-20"), 0)</f>
        <v>0</v>
      </c>
      <c r="AB9" s="332">
        <f>IF(OR(O9&lt;&gt;"ОК", K9="", K9="без закалки", ISNUMBER(SEARCH("без", K9))), 0,
 (
   (MAX(0.3 * F9, S9) * IF(SUMIFS(СТЕКЛО!$C:$C, СТЕКЛО!$A:$A, "*Закалк*", СТЕКЛО!$B:$B, "4*")&gt;0,
                              SUMIFS(СТЕКЛО!$C:$C, СТЕКЛО!$A:$A, "*Закалк*", СТЕКЛО!$B:$B, "4*"),
                              SUMIF(СТЕКЛО!$A:$A, "*Закалк*", СТЕКЛО!$C:$C)))
   +
   (R9 * IF(SUMIFS(СТЕКЛО!$C:$C, СТЕКЛО!$A:$A, "*Шлифовк*", СТЕКЛО!$B:$B, "4*")&gt;0,
              SUMIFS(СТЕКЛО!$C:$C, СТЕКЛО!$A:$A, "*Шлифовк*", СТЕКЛО!$B:$B, "4*"),
              SUMIF(СТЕКЛО!$A:$A, "*Шлифовк*", СТЕКЛО!$C:$C)))
 )
 * (1 + IF(AND(MIN(D9, E9)&gt;=30, MIN(D9, E9)&lt;=100), 1, 0) + IF(MAX(D9, E9)&gt;=2500, 1, 0))
)</f>
        <v>0</v>
      </c>
      <c r="AC9" s="333">
        <f>IF(OR(O9&lt;&gt;"ОК", G9="", G9="без присадки", G9="без петель", G9="только присадка"), 0, IF(ISNUMBER(SEARCH("MF", B9)), IF(SUMIF(MF!$A:$A, G9, MF!$C:$C)&gt;0, SUMIF(MF!$A:$A, G9, MF!$C:$C), SUMIF(MZ!$A:$A, G9, MZ!$C:$C)), IF(SUMIF(MZ!$A:$A, G9, MZ!$C:$C)&gt;0, SUMIF(MZ!$A:$A, G9, MZ!$C:$C), SUMIF(MF!$A:$A, G9, MF!$C:$C))) * F9 * IF(OR(ISNUMBER(SEARCH("Salice AIR", G9)), ISNUMBER(SEARCH("(2шт)", G9))), H9, H9))</f>
        <v>0</v>
      </c>
      <c r="AD9" s="333">
        <f>IF(AND(O9="ОК", L9&gt;0, M9&lt;&gt;""), L9 * SUMIFS(СТЕКЛО!$C:$C, СТЕКЛО!$A:$A, "Сверление отверстий", СТЕКЛО!$B:$B, M9), 0)</f>
        <v>0</v>
      </c>
      <c r="AE9" s="333">
        <f>IF(AND(O9="ОК", J9&lt;&gt;"", J9&lt;&gt;"без оклейки"), S9 * IFERROR(VLOOKUP(J9, СТЕКЛО!$A:$C, 3, 0), 0), 0)</f>
        <v>0</v>
      </c>
      <c r="AF9" s="334">
        <f>IF(AND(ISNUMBER(MATCH(B9, {"MZ 12","MZ 17","MZ 19","MZ 20","MZ 20/21","MZ 20/22","MZ 20/25"}, 0)), I9&lt;&gt;"", I9&lt;&gt;"без наполнения"), R9, 0)</f>
        <v>0</v>
      </c>
      <c r="AG9" s="335" t="b">
        <f>IF((COUNTIFS(MZ!$A:$A, B9, MZ!$B:$B, C9) + COUNTIFS(MF!$A:$A, B9, MF!$B:$B, C9))&gt;0, TRUE, FALSE)</f>
        <v>0</v>
      </c>
      <c r="AH9" s="335" t="str">
        <f>IFERROR(VLOOKUP(B9, Данные!$B:$C, 2, 0), "")</f>
        <v/>
      </c>
      <c r="AI9" s="335" t="str">
        <f>IFERROR(VLOOKUP(G9, Данные!$B:$C, 2, 0), "")</f>
        <v/>
      </c>
      <c r="AJ9" s="340" t="b">
        <f>IF(G9="без присадки", IF(IFERROR(VLOOKUP(B9, Данные!$B:$D, 3, 0), "")="можно без присадки", TRUE, FALSE), IF(OR(AH9=AI9, AI9="любой", G9="только присадка", G9=""), TRUE, FALSE))</f>
        <v>1</v>
      </c>
      <c r="AK9" s="364"/>
      <c r="AL9" s="343">
        <f t="shared" si="1"/>
        <v>0</v>
      </c>
    </row>
    <row r="10" spans="1:38" s="149" customFormat="1" ht="43.5" customHeight="1" thickBot="1">
      <c r="A10" s="344">
        <v>6</v>
      </c>
      <c r="B10" s="355"/>
      <c r="C10" s="325"/>
      <c r="D10" s="356"/>
      <c r="E10" s="356"/>
      <c r="F10" s="357"/>
      <c r="G10" s="355"/>
      <c r="H10" s="357"/>
      <c r="I10" s="355"/>
      <c r="J10" s="360"/>
      <c r="K10" s="360"/>
      <c r="L10" s="361"/>
      <c r="M10" s="362"/>
      <c r="N10" s="363"/>
      <c r="O10" s="342" t="str">
        <f>IF(OR(B10="", C10="", D10=0, E10=0, F10=0), "Сделайте выбор",
 IF(OR(D10&lt;200, E10&lt;200), "Мин. размер 200х200!",
 IF(NOT(AG10), "Ошибка цвета!",
 IF(IF(ISNUMBER(SEARCH("MF", B10)), SUMIFS(MF!$C:$C, MF!$A:$A, LEFT(B10, 5), MF!$B:$B, C10), SUMIFS(MZ!$C:$C, MZ!$A:$A, B10, MZ!$B:$B, C10))=0, "Нет актуальной цены!",
 IF(OR(AND(NOT(AJ10), NOT(AND(B10="MZ 04", ISNUMBER(SEARCH("902", G10))))), AND(ISNUMBER(SEARCH("MF20", SUBSTITUTE(G10, " ", ""))), NOT(ISNUMBER(SEARCH("MF 2", B10)))), AND(ISNUMBER(SEARCH("MF50", SUBSTITUTE(G10, " ", ""))), NOT(ISNUMBER(SEARCH("MF 5", B10)))), AND(ISNUMBER(SEARCH("MF70", SUBSTITUTE(G10, " ", ""))), NOT(ISNUMBER(SEARCH("MF 7", B10))))), "Петля не подходит!",
 IF(AND(K10&lt;&gt;"", K10&lt;&gt;"без закалки", OR(ISNUMBER(SEARCH("MF 2", B10)), ISNUMBER(SEARCH("MF 3", B10)))), "В этом профиле закалка невозможна!",
 IF(AND(K10&lt;&gt;"", K10&lt;&gt;"без закалки", ISNUMBER(SEARCH("нельзя закаливать", IFERROR(INDEX(Данные!$E:$E, MATCH(I10, Данные!$B:$B, 0)), "")))), "Это наполнение не закаливают!",
 "ОК")))))))</f>
        <v>Сделайте выбор</v>
      </c>
      <c r="P10" s="430">
        <f t="shared" si="2"/>
        <v>0</v>
      </c>
      <c r="Q10" s="428">
        <f t="shared" si="3"/>
        <v>0</v>
      </c>
      <c r="R10" s="337">
        <f t="shared" si="7"/>
        <v>0</v>
      </c>
      <c r="S10" s="327">
        <f t="shared" si="0"/>
        <v>0</v>
      </c>
      <c r="T10" s="451">
        <f t="shared" si="4"/>
        <v>0</v>
      </c>
      <c r="U10" s="453">
        <f t="shared" si="5"/>
        <v>0</v>
      </c>
      <c r="V10" s="453">
        <f t="shared" si="6"/>
        <v>0</v>
      </c>
      <c r="W10" s="328">
        <f>IFERROR(IF(O10&lt;&gt;"ОК", 0, IF(NOT(ISNUMBER(SEARCH("MF", B10))), IF(ISNUMBER(SEARCH("13-01", B10)), ((R10 - D10*F10/1000) * SUMIFS(MZ!$C:$C, MZ!$A:$A, "MZ 13", MZ!$B:$B, C10) * 0.732) + (F10 * SUMIFS(MZ!$C:$C, MZ!$A:$A, B10, MZ!$B:$B, C10)), R10 * SUMIFS(MZ!$C:$C, MZ!$A:$A, B10, MZ!$B:$B, C10)), IF((LEN(B10)-LEN(SUBSTITUTE(B10,"/","")))=2, (IF(VLOOKUP(LEFT(B10, 5), MF!$A:$D, 4, 0)="хлыст", F10 * ROUNDUP((E10*2/1000) / VLOOKUP(LEFT(B10, 5), MF!$A:$E, 5, 0), 0), (E10*2*F10/1000)) * SUMIFS(MF!$C:$C, MF!$A:$A, LEFT(B10, 5), MF!$B:$B, C10)) + (IF(VLOOKUP("MF "&amp;MID(B10, 7, 2), MF!$A:$D, 4, 0)="хлыст", F10 * ROUNDUP((D10/1000) / VLOOKUP("MF "&amp;MID(B10, 7, 2), MF!$A:$E, 5, 0), 0), (D10*F10/1000)) * SUMIFS(MF!$C:$C, MF!$A:$A, "MF "&amp;MID(B10, 7, 2), MF!$B:$B, C10)) + (IF(VLOOKUP("MF "&amp;RIGHT(B10, 2), MF!$A:$D, 4, 0)="хлыст", F10 * ROUNDUP((D10/1000) / VLOOKUP("MF "&amp;RIGHT(B10, 2), MF!$A:$E, 5, 0), 0), (D10*F10/1000)) * SUMIFS(MF!$C:$C, MF!$A:$A, "MF "&amp;RIGHT(B10, 2), MF!$B:$B, C10)), IF((LEN(B10)-LEN(SUBSTITUTE(B10,"/","")))=1, (IF(VLOOKUP(LEFT(B10, 5), MF!$A:$D, 4, 0)="хлыст", F10 * ROUNDUP(((R10/F10) - D10/1000) / VLOOKUP(LEFT(B10, 5), MF!$A:$E, 5, 0), 0), (R10 - D10*F10/1000)) * SUMIFS(MF!$C:$C, MF!$A:$A, LEFT(B10, 5), MF!$B:$B, C10)) + (IF(VLOOKUP("MF "&amp;RIGHT(B10, 2), MF!$A:$D, 4, 0)="хлыст", F10 * ROUNDUP((D10/1000) / VLOOKUP("MF "&amp;RIGHT(B10, 2), MF!$A:$E, 5, 0), 0), (D10*F10/1000)) * SUMIFS(MF!$C:$C, MF!$A:$A, "MF "&amp;RIGHT(B10, 2), MF!$B:$B, C10)), IF(VLOOKUP(B10, MF!$A:$D, 4, 0)="хлыст", F10 * ROUNDUP((R10/F10) / VLOOKUP(B10, MF!$A:$E, 5, 0), 0), R10) * SUMIFS(MF!$C:$C, MF!$A:$A, B10, MF!$B:$B, C10))))), 0)</f>
        <v>0</v>
      </c>
      <c r="X10" s="329">
        <f>IFERROR(IF(O10&lt;&gt;"ОК", 0, F10 * IF(AND(ISNUMBER(SEARCH("MZ", B10)), ISNUMBER(SEARCH("04", B10)), ISNUMBER(SEARCH("902", G10))), SUMIF(MZ!$A:$A, "Сборка*902*", MZ!$C:$C), IF(ISNUMBER(SEARCH("MF", B10)), IF(ISNUMBER(SEARCH("MF 2", B10)), IF(ISNUMBER(SEARCH("/", B10)), SUMIF(MF!$A:$A, "Сборка фасада MF20/2*", MF!$C:$C), SUMIF(MF!$A:$A, "Сборка фасада MF20", MF!$C:$C)), IF(OR(ISNUMBER(SEARCH("MF 5", B10)), ISNUMBER(SEARCH("MF 7", B10))), SUMIF(MF!$A:$A, "Сборка фасада MF50, MF70*", MF!$C:$C), IF(ISNUMBER(SEARCH("MF 6", B10)), SUMIF(MF!$A:$A, "Сборка фасада MF30, MF60*", MF!$C:$C), IF(ISNUMBER(SEARCH("/", B10)), SUMIF(MF!$A:$A, "Сборка фасада MF30/3*", MF!$C:$C), SUMIF(MF!$A:$A, "Сборка фасада MF30, MF60*", MF!$C:$C))))), SUMIF(MZ!$A:$A, "Сборка+уголки+фрез.под петли*", MZ!$C:$C)))), 0)</f>
        <v>0</v>
      </c>
      <c r="Y10" s="330">
        <f>IF(AND(O10="ОК", N10&gt;0), N10 * SUMIFS(СТЕКЛО!$C:$C, СТЕКЛО!$A:$A, "Втулки для отверстий в стекле"), 0)</f>
        <v>0</v>
      </c>
      <c r="Z10" s="331">
        <f>IF(O10="ОК", S10 * IFERROR(VLOOKUP(I10, СТЕКЛО!$A:$C, 3, 0), 0), 0)</f>
        <v>0</v>
      </c>
      <c r="AA10" s="332">
        <f>IF(O10="ОК", AF10 * SUMIFS(СТЕКЛО!$C:$C, СТЕКЛО!$A:$A, "Подгонка под Z-12, Z-17, Z-19, Z-20"), 0)</f>
        <v>0</v>
      </c>
      <c r="AB10" s="332">
        <f>IF(OR(O10&lt;&gt;"ОК", K10="", K10="без закалки", ISNUMBER(SEARCH("без", K10))), 0,
 (
   (MAX(0.3 * F10, S10) * IF(SUMIFS(СТЕКЛО!$C:$C, СТЕКЛО!$A:$A, "*Закалк*", СТЕКЛО!$B:$B, "4*")&gt;0,
                              SUMIFS(СТЕКЛО!$C:$C, СТЕКЛО!$A:$A, "*Закалк*", СТЕКЛО!$B:$B, "4*"),
                              SUMIF(СТЕКЛО!$A:$A, "*Закалк*", СТЕКЛО!$C:$C)))
   +
   (R10 * IF(SUMIFS(СТЕКЛО!$C:$C, СТЕКЛО!$A:$A, "*Шлифовк*", СТЕКЛО!$B:$B, "4*")&gt;0,
              SUMIFS(СТЕКЛО!$C:$C, СТЕКЛО!$A:$A, "*Шлифовк*", СТЕКЛО!$B:$B, "4*"),
              SUMIF(СТЕКЛО!$A:$A, "*Шлифовк*", СТЕКЛО!$C:$C)))
 )
 * (1 + IF(AND(MIN(D10, E10)&gt;=30, MIN(D10, E10)&lt;=100), 1, 0) + IF(MAX(D10, E10)&gt;=2500, 1, 0))
)</f>
        <v>0</v>
      </c>
      <c r="AC10" s="333">
        <f>IF(OR(O10&lt;&gt;"ОК", G10="", G10="без присадки", G10="без петель", G10="только присадка"), 0, IF(ISNUMBER(SEARCH("MF", B10)), IF(SUMIF(MF!$A:$A, G10, MF!$C:$C)&gt;0, SUMIF(MF!$A:$A, G10, MF!$C:$C), SUMIF(MZ!$A:$A, G10, MZ!$C:$C)), IF(SUMIF(MZ!$A:$A, G10, MZ!$C:$C)&gt;0, SUMIF(MZ!$A:$A, G10, MZ!$C:$C), SUMIF(MF!$A:$A, G10, MF!$C:$C))) * F10 * IF(OR(ISNUMBER(SEARCH("Salice AIR", G10)), ISNUMBER(SEARCH("(2шт)", G10))), H10, H10))</f>
        <v>0</v>
      </c>
      <c r="AD10" s="333">
        <f>IF(AND(O10="ОК", L10&gt;0, M10&lt;&gt;""), L10 * SUMIFS(СТЕКЛО!$C:$C, СТЕКЛО!$A:$A, "Сверление отверстий", СТЕКЛО!$B:$B, M10), 0)</f>
        <v>0</v>
      </c>
      <c r="AE10" s="333">
        <f>IF(AND(O10="ОК", J10&lt;&gt;"", J10&lt;&gt;"без оклейки"), S10 * IFERROR(VLOOKUP(J10, СТЕКЛО!$A:$C, 3, 0), 0), 0)</f>
        <v>0</v>
      </c>
      <c r="AF10" s="334">
        <f>IF(AND(ISNUMBER(MATCH(B10, {"MZ 12","MZ 17","MZ 19","MZ 20","MZ 20/21","MZ 20/22","MZ 20/25"}, 0)), I10&lt;&gt;"", I10&lt;&gt;"без наполнения"), R10, 0)</f>
        <v>0</v>
      </c>
      <c r="AG10" s="335" t="b">
        <f>IF((COUNTIFS(MZ!$A:$A, B10, MZ!$B:$B, C10) + COUNTIFS(MF!$A:$A, B10, MF!$B:$B, C10))&gt;0, TRUE, FALSE)</f>
        <v>0</v>
      </c>
      <c r="AH10" s="335" t="str">
        <f>IFERROR(VLOOKUP(B10, Данные!$B:$C, 2, 0), "")</f>
        <v/>
      </c>
      <c r="AI10" s="335" t="str">
        <f>IFERROR(VLOOKUP(G10, Данные!$B:$C, 2, 0), "")</f>
        <v/>
      </c>
      <c r="AJ10" s="340" t="b">
        <f>IF(G10="без присадки", IF(IFERROR(VLOOKUP(B10, Данные!$B:$D, 3, 0), "")="можно без присадки", TRUE, FALSE), IF(OR(AH10=AI10, AI10="любой", G10="только присадка", G10=""), TRUE, FALSE))</f>
        <v>1</v>
      </c>
      <c r="AK10" s="364"/>
      <c r="AL10" s="343">
        <f t="shared" si="1"/>
        <v>0</v>
      </c>
    </row>
    <row r="11" spans="1:38" s="149" customFormat="1" ht="43.5" customHeight="1" thickBot="1">
      <c r="A11" s="344">
        <v>7</v>
      </c>
      <c r="B11" s="355"/>
      <c r="C11" s="325"/>
      <c r="D11" s="356"/>
      <c r="E11" s="356"/>
      <c r="F11" s="357"/>
      <c r="G11" s="355"/>
      <c r="H11" s="357"/>
      <c r="I11" s="355"/>
      <c r="J11" s="360"/>
      <c r="K11" s="360"/>
      <c r="L11" s="361"/>
      <c r="M11" s="362"/>
      <c r="N11" s="363"/>
      <c r="O11" s="342" t="str">
        <f>IF(OR(B11="", C11="", D11=0, E11=0, F11=0), "Сделайте выбор",
 IF(OR(D11&lt;200, E11&lt;200), "Мин. размер 200х200!",
 IF(NOT(AG11), "Ошибка цвета!",
 IF(IF(ISNUMBER(SEARCH("MF", B11)), SUMIFS(MF!$C:$C, MF!$A:$A, LEFT(B11, 5), MF!$B:$B, C11), SUMIFS(MZ!$C:$C, MZ!$A:$A, B11, MZ!$B:$B, C11))=0, "Нет актуальной цены!",
 IF(OR(AND(NOT(AJ11), NOT(AND(B11="MZ 04", ISNUMBER(SEARCH("902", G11))))), AND(ISNUMBER(SEARCH("MF20", SUBSTITUTE(G11, " ", ""))), NOT(ISNUMBER(SEARCH("MF 2", B11)))), AND(ISNUMBER(SEARCH("MF50", SUBSTITUTE(G11, " ", ""))), NOT(ISNUMBER(SEARCH("MF 5", B11)))), AND(ISNUMBER(SEARCH("MF70", SUBSTITUTE(G11, " ", ""))), NOT(ISNUMBER(SEARCH("MF 7", B11))))), "Петля не подходит!",
 IF(AND(K11&lt;&gt;"", K11&lt;&gt;"без закалки", OR(ISNUMBER(SEARCH("MF 2", B11)), ISNUMBER(SEARCH("MF 3", B11)))), "В этом профиле закалка невозможна!",
 IF(AND(K11&lt;&gt;"", K11&lt;&gt;"без закалки", ISNUMBER(SEARCH("нельзя закаливать", IFERROR(INDEX(Данные!$E:$E, MATCH(I11, Данные!$B:$B, 0)), "")))), "Это наполнение не закаливают!",
 "ОК")))))))</f>
        <v>Сделайте выбор</v>
      </c>
      <c r="P11" s="430">
        <f t="shared" si="2"/>
        <v>0</v>
      </c>
      <c r="Q11" s="428">
        <f t="shared" si="3"/>
        <v>0</v>
      </c>
      <c r="R11" s="337">
        <f t="shared" si="7"/>
        <v>0</v>
      </c>
      <c r="S11" s="327">
        <f t="shared" si="0"/>
        <v>0</v>
      </c>
      <c r="T11" s="451">
        <f t="shared" si="4"/>
        <v>0</v>
      </c>
      <c r="U11" s="453">
        <f t="shared" si="5"/>
        <v>0</v>
      </c>
      <c r="V11" s="453">
        <f t="shared" si="6"/>
        <v>0</v>
      </c>
      <c r="W11" s="328">
        <f>IFERROR(IF(O11&lt;&gt;"ОК", 0, IF(NOT(ISNUMBER(SEARCH("MF", B11))), IF(ISNUMBER(SEARCH("13-01", B11)), ((R11 - D11*F11/1000) * SUMIFS(MZ!$C:$C, MZ!$A:$A, "MZ 13", MZ!$B:$B, C11) * 0.732) + (F11 * SUMIFS(MZ!$C:$C, MZ!$A:$A, B11, MZ!$B:$B, C11)), R11 * SUMIFS(MZ!$C:$C, MZ!$A:$A, B11, MZ!$B:$B, C11)), IF((LEN(B11)-LEN(SUBSTITUTE(B11,"/","")))=2, (IF(VLOOKUP(LEFT(B11, 5), MF!$A:$D, 4, 0)="хлыст", F11 * ROUNDUP((E11*2/1000) / VLOOKUP(LEFT(B11, 5), MF!$A:$E, 5, 0), 0), (E11*2*F11/1000)) * SUMIFS(MF!$C:$C, MF!$A:$A, LEFT(B11, 5), MF!$B:$B, C11)) + (IF(VLOOKUP("MF "&amp;MID(B11, 7, 2), MF!$A:$D, 4, 0)="хлыст", F11 * ROUNDUP((D11/1000) / VLOOKUP("MF "&amp;MID(B11, 7, 2), MF!$A:$E, 5, 0), 0), (D11*F11/1000)) * SUMIFS(MF!$C:$C, MF!$A:$A, "MF "&amp;MID(B11, 7, 2), MF!$B:$B, C11)) + (IF(VLOOKUP("MF "&amp;RIGHT(B11, 2), MF!$A:$D, 4, 0)="хлыст", F11 * ROUNDUP((D11/1000) / VLOOKUP("MF "&amp;RIGHT(B11, 2), MF!$A:$E, 5, 0), 0), (D11*F11/1000)) * SUMIFS(MF!$C:$C, MF!$A:$A, "MF "&amp;RIGHT(B11, 2), MF!$B:$B, C11)), IF((LEN(B11)-LEN(SUBSTITUTE(B11,"/","")))=1, (IF(VLOOKUP(LEFT(B11, 5), MF!$A:$D, 4, 0)="хлыст", F11 * ROUNDUP(((R11/F11) - D11/1000) / VLOOKUP(LEFT(B11, 5), MF!$A:$E, 5, 0), 0), (R11 - D11*F11/1000)) * SUMIFS(MF!$C:$C, MF!$A:$A, LEFT(B11, 5), MF!$B:$B, C11)) + (IF(VLOOKUP("MF "&amp;RIGHT(B11, 2), MF!$A:$D, 4, 0)="хлыст", F11 * ROUNDUP((D11/1000) / VLOOKUP("MF "&amp;RIGHT(B11, 2), MF!$A:$E, 5, 0), 0), (D11*F11/1000)) * SUMIFS(MF!$C:$C, MF!$A:$A, "MF "&amp;RIGHT(B11, 2), MF!$B:$B, C11)), IF(VLOOKUP(B11, MF!$A:$D, 4, 0)="хлыст", F11 * ROUNDUP((R11/F11) / VLOOKUP(B11, MF!$A:$E, 5, 0), 0), R11) * SUMIFS(MF!$C:$C, MF!$A:$A, B11, MF!$B:$B, C11))))), 0)</f>
        <v>0</v>
      </c>
      <c r="X11" s="329">
        <f>IFERROR(IF(O11&lt;&gt;"ОК", 0, F11 * IF(AND(ISNUMBER(SEARCH("MZ", B11)), ISNUMBER(SEARCH("04", B11)), ISNUMBER(SEARCH("902", G11))), SUMIF(MZ!$A:$A, "Сборка*902*", MZ!$C:$C), IF(ISNUMBER(SEARCH("MF", B11)), IF(ISNUMBER(SEARCH("MF 2", B11)), IF(ISNUMBER(SEARCH("/", B11)), SUMIF(MF!$A:$A, "Сборка фасада MF20/2*", MF!$C:$C), SUMIF(MF!$A:$A, "Сборка фасада MF20", MF!$C:$C)), IF(OR(ISNUMBER(SEARCH("MF 5", B11)), ISNUMBER(SEARCH("MF 7", B11))), SUMIF(MF!$A:$A, "Сборка фасада MF50, MF70*", MF!$C:$C), IF(ISNUMBER(SEARCH("MF 6", B11)), SUMIF(MF!$A:$A, "Сборка фасада MF30, MF60*", MF!$C:$C), IF(ISNUMBER(SEARCH("/", B11)), SUMIF(MF!$A:$A, "Сборка фасада MF30/3*", MF!$C:$C), SUMIF(MF!$A:$A, "Сборка фасада MF30, MF60*", MF!$C:$C))))), SUMIF(MZ!$A:$A, "Сборка+уголки+фрез.под петли*", MZ!$C:$C)))), 0)</f>
        <v>0</v>
      </c>
      <c r="Y11" s="330">
        <f>IF(AND(O11="ОК", N11&gt;0), N11 * SUMIFS(СТЕКЛО!$C:$C, СТЕКЛО!$A:$A, "Втулки для отверстий в стекле"), 0)</f>
        <v>0</v>
      </c>
      <c r="Z11" s="331">
        <f>IF(O11="ОК", S11 * IFERROR(VLOOKUP(I11, СТЕКЛО!$A:$C, 3, 0), 0), 0)</f>
        <v>0</v>
      </c>
      <c r="AA11" s="332">
        <f>IF(O11="ОК", AF11 * SUMIFS(СТЕКЛО!$C:$C, СТЕКЛО!$A:$A, "Подгонка под Z-12, Z-17, Z-19, Z-20"), 0)</f>
        <v>0</v>
      </c>
      <c r="AB11" s="332">
        <f>IF(OR(O11&lt;&gt;"ОК", K11="", K11="без закалки", ISNUMBER(SEARCH("без", K11))), 0,
 (
   (MAX(0.3 * F11, S11) * IF(SUMIFS(СТЕКЛО!$C:$C, СТЕКЛО!$A:$A, "*Закалк*", СТЕКЛО!$B:$B, "4*")&gt;0,
                              SUMIFS(СТЕКЛО!$C:$C, СТЕКЛО!$A:$A, "*Закалк*", СТЕКЛО!$B:$B, "4*"),
                              SUMIF(СТЕКЛО!$A:$A, "*Закалк*", СТЕКЛО!$C:$C)))
   +
   (R11 * IF(SUMIFS(СТЕКЛО!$C:$C, СТЕКЛО!$A:$A, "*Шлифовк*", СТЕКЛО!$B:$B, "4*")&gt;0,
              SUMIFS(СТЕКЛО!$C:$C, СТЕКЛО!$A:$A, "*Шлифовк*", СТЕКЛО!$B:$B, "4*"),
              SUMIF(СТЕКЛО!$A:$A, "*Шлифовк*", СТЕКЛО!$C:$C)))
 )
 * (1 + IF(AND(MIN(D11, E11)&gt;=30, MIN(D11, E11)&lt;=100), 1, 0) + IF(MAX(D11, E11)&gt;=2500, 1, 0))
)</f>
        <v>0</v>
      </c>
      <c r="AC11" s="333">
        <f>IF(OR(O11&lt;&gt;"ОК", G11="", G11="без присадки", G11="без петель", G11="только присадка"), 0, IF(ISNUMBER(SEARCH("MF", B11)), IF(SUMIF(MF!$A:$A, G11, MF!$C:$C)&gt;0, SUMIF(MF!$A:$A, G11, MF!$C:$C), SUMIF(MZ!$A:$A, G11, MZ!$C:$C)), IF(SUMIF(MZ!$A:$A, G11, MZ!$C:$C)&gt;0, SUMIF(MZ!$A:$A, G11, MZ!$C:$C), SUMIF(MF!$A:$A, G11, MF!$C:$C))) * F11 * IF(OR(ISNUMBER(SEARCH("Salice AIR", G11)), ISNUMBER(SEARCH("(2шт)", G11))), H11, H11))</f>
        <v>0</v>
      </c>
      <c r="AD11" s="333">
        <f>IF(AND(O11="ОК", L11&gt;0, M11&lt;&gt;""), L11 * SUMIFS(СТЕКЛО!$C:$C, СТЕКЛО!$A:$A, "Сверление отверстий", СТЕКЛО!$B:$B, M11), 0)</f>
        <v>0</v>
      </c>
      <c r="AE11" s="333">
        <f>IF(AND(O11="ОК", J11&lt;&gt;"", J11&lt;&gt;"без оклейки"), S11 * IFERROR(VLOOKUP(J11, СТЕКЛО!$A:$C, 3, 0), 0), 0)</f>
        <v>0</v>
      </c>
      <c r="AF11" s="334">
        <f>IF(AND(ISNUMBER(MATCH(B11, {"MZ 12","MZ 17","MZ 19","MZ 20","MZ 20/21","MZ 20/22","MZ 20/25"}, 0)), I11&lt;&gt;"", I11&lt;&gt;"без наполнения"), R11, 0)</f>
        <v>0</v>
      </c>
      <c r="AG11" s="335" t="b">
        <f>IF((COUNTIFS(MZ!$A:$A, B11, MZ!$B:$B, C11) + COUNTIFS(MF!$A:$A, B11, MF!$B:$B, C11))&gt;0, TRUE, FALSE)</f>
        <v>0</v>
      </c>
      <c r="AH11" s="335" t="str">
        <f>IFERROR(VLOOKUP(B11, Данные!$B:$C, 2, 0), "")</f>
        <v/>
      </c>
      <c r="AI11" s="335" t="str">
        <f>IFERROR(VLOOKUP(G11, Данные!$B:$C, 2, 0), "")</f>
        <v/>
      </c>
      <c r="AJ11" s="340" t="b">
        <f>IF(G11="без присадки", IF(IFERROR(VLOOKUP(B11, Данные!$B:$D, 3, 0), "")="можно без присадки", TRUE, FALSE), IF(OR(AH11=AI11, AI11="любой", G11="только присадка", G11=""), TRUE, FALSE))</f>
        <v>1</v>
      </c>
      <c r="AK11" s="364"/>
      <c r="AL11" s="343">
        <f t="shared" si="1"/>
        <v>0</v>
      </c>
    </row>
    <row r="12" spans="1:38" s="149" customFormat="1" ht="42.95" customHeight="1" thickBot="1">
      <c r="A12" s="344">
        <v>8</v>
      </c>
      <c r="B12" s="355"/>
      <c r="C12" s="325"/>
      <c r="D12" s="356"/>
      <c r="E12" s="356"/>
      <c r="F12" s="357"/>
      <c r="G12" s="355"/>
      <c r="H12" s="357"/>
      <c r="I12" s="355"/>
      <c r="J12" s="360"/>
      <c r="K12" s="360"/>
      <c r="L12" s="361"/>
      <c r="M12" s="362"/>
      <c r="N12" s="363"/>
      <c r="O12" s="342" t="str">
        <f>IF(OR(B12="", C12="", D12=0, E12=0, F12=0), "Сделайте выбор",
 IF(OR(D12&lt;200, E12&lt;200), "Мин. размер 200х200!",
 IF(NOT(AG12), "Ошибка цвета!",
 IF(IF(ISNUMBER(SEARCH("MF", B12)), SUMIFS(MF!$C:$C, MF!$A:$A, LEFT(B12, 5), MF!$B:$B, C12), SUMIFS(MZ!$C:$C, MZ!$A:$A, B12, MZ!$B:$B, C12))=0, "Нет актуальной цены!",
 IF(OR(AND(NOT(AJ12), NOT(AND(B12="MZ 04", ISNUMBER(SEARCH("902", G12))))), AND(ISNUMBER(SEARCH("MF20", SUBSTITUTE(G12, " ", ""))), NOT(ISNUMBER(SEARCH("MF 2", B12)))), AND(ISNUMBER(SEARCH("MF50", SUBSTITUTE(G12, " ", ""))), NOT(ISNUMBER(SEARCH("MF 5", B12)))), AND(ISNUMBER(SEARCH("MF70", SUBSTITUTE(G12, " ", ""))), NOT(ISNUMBER(SEARCH("MF 7", B12))))), "Петля не подходит!",
 IF(AND(K12&lt;&gt;"", K12&lt;&gt;"без закалки", OR(ISNUMBER(SEARCH("MF 2", B12)), ISNUMBER(SEARCH("MF 3", B12)))), "В этом профиле закалка невозможна!",
 IF(AND(K12&lt;&gt;"", K12&lt;&gt;"без закалки", ISNUMBER(SEARCH("нельзя закаливать", IFERROR(INDEX(Данные!$E:$E, MATCH(I12, Данные!$B:$B, 0)), "")))), "Это наполнение не закаливают!",
 "ОК")))))))</f>
        <v>Сделайте выбор</v>
      </c>
      <c r="P12" s="430">
        <f t="shared" si="2"/>
        <v>0</v>
      </c>
      <c r="Q12" s="428">
        <f t="shared" si="3"/>
        <v>0</v>
      </c>
      <c r="R12" s="337">
        <f t="shared" si="7"/>
        <v>0</v>
      </c>
      <c r="S12" s="327">
        <f t="shared" si="0"/>
        <v>0</v>
      </c>
      <c r="T12" s="451">
        <f t="shared" si="4"/>
        <v>0</v>
      </c>
      <c r="U12" s="453">
        <f t="shared" si="5"/>
        <v>0</v>
      </c>
      <c r="V12" s="453">
        <f t="shared" si="6"/>
        <v>0</v>
      </c>
      <c r="W12" s="328">
        <f>IFERROR(IF(O12&lt;&gt;"ОК", 0, IF(NOT(ISNUMBER(SEARCH("MF", B12))), IF(ISNUMBER(SEARCH("13-01", B12)), ((R12 - D12*F12/1000) * SUMIFS(MZ!$C:$C, MZ!$A:$A, "MZ 13", MZ!$B:$B, C12) * 0.732) + (F12 * SUMIFS(MZ!$C:$C, MZ!$A:$A, B12, MZ!$B:$B, C12)), R12 * SUMIFS(MZ!$C:$C, MZ!$A:$A, B12, MZ!$B:$B, C12)), IF((LEN(B12)-LEN(SUBSTITUTE(B12,"/","")))=2, (IF(VLOOKUP(LEFT(B12, 5), MF!$A:$D, 4, 0)="хлыст", F12 * ROUNDUP((E12*2/1000) / VLOOKUP(LEFT(B12, 5), MF!$A:$E, 5, 0), 0), (E12*2*F12/1000)) * SUMIFS(MF!$C:$C, MF!$A:$A, LEFT(B12, 5), MF!$B:$B, C12)) + (IF(VLOOKUP("MF "&amp;MID(B12, 7, 2), MF!$A:$D, 4, 0)="хлыст", F12 * ROUNDUP((D12/1000) / VLOOKUP("MF "&amp;MID(B12, 7, 2), MF!$A:$E, 5, 0), 0), (D12*F12/1000)) * SUMIFS(MF!$C:$C, MF!$A:$A, "MF "&amp;MID(B12, 7, 2), MF!$B:$B, C12)) + (IF(VLOOKUP("MF "&amp;RIGHT(B12, 2), MF!$A:$D, 4, 0)="хлыст", F12 * ROUNDUP((D12/1000) / VLOOKUP("MF "&amp;RIGHT(B12, 2), MF!$A:$E, 5, 0), 0), (D12*F12/1000)) * SUMIFS(MF!$C:$C, MF!$A:$A, "MF "&amp;RIGHT(B12, 2), MF!$B:$B, C12)), IF((LEN(B12)-LEN(SUBSTITUTE(B12,"/","")))=1, (IF(VLOOKUP(LEFT(B12, 5), MF!$A:$D, 4, 0)="хлыст", F12 * ROUNDUP(((R12/F12) - D12/1000) / VLOOKUP(LEFT(B12, 5), MF!$A:$E, 5, 0), 0), (R12 - D12*F12/1000)) * SUMIFS(MF!$C:$C, MF!$A:$A, LEFT(B12, 5), MF!$B:$B, C12)) + (IF(VLOOKUP("MF "&amp;RIGHT(B12, 2), MF!$A:$D, 4, 0)="хлыст", F12 * ROUNDUP((D12/1000) / VLOOKUP("MF "&amp;RIGHT(B12, 2), MF!$A:$E, 5, 0), 0), (D12*F12/1000)) * SUMIFS(MF!$C:$C, MF!$A:$A, "MF "&amp;RIGHT(B12, 2), MF!$B:$B, C12)), IF(VLOOKUP(B12, MF!$A:$D, 4, 0)="хлыст", F12 * ROUNDUP((R12/F12) / VLOOKUP(B12, MF!$A:$E, 5, 0), 0), R12) * SUMIFS(MF!$C:$C, MF!$A:$A, B12, MF!$B:$B, C12))))), 0)</f>
        <v>0</v>
      </c>
      <c r="X12" s="329">
        <f>IFERROR(IF(O12&lt;&gt;"ОК", 0, F12 * IF(AND(ISNUMBER(SEARCH("MZ", B12)), ISNUMBER(SEARCH("04", B12)), ISNUMBER(SEARCH("902", G12))), SUMIF(MZ!$A:$A, "Сборка*902*", MZ!$C:$C), IF(ISNUMBER(SEARCH("MF", B12)), IF(ISNUMBER(SEARCH("MF 2", B12)), IF(ISNUMBER(SEARCH("/", B12)), SUMIF(MF!$A:$A, "Сборка фасада MF20/2*", MF!$C:$C), SUMIF(MF!$A:$A, "Сборка фасада MF20", MF!$C:$C)), IF(OR(ISNUMBER(SEARCH("MF 5", B12)), ISNUMBER(SEARCH("MF 7", B12))), SUMIF(MF!$A:$A, "Сборка фасада MF50, MF70*", MF!$C:$C), IF(ISNUMBER(SEARCH("MF 6", B12)), SUMIF(MF!$A:$A, "Сборка фасада MF30, MF60*", MF!$C:$C), IF(ISNUMBER(SEARCH("/", B12)), SUMIF(MF!$A:$A, "Сборка фасада MF30/3*", MF!$C:$C), SUMIF(MF!$A:$A, "Сборка фасада MF30, MF60*", MF!$C:$C))))), SUMIF(MZ!$A:$A, "Сборка+уголки+фрез.под петли*", MZ!$C:$C)))), 0)</f>
        <v>0</v>
      </c>
      <c r="Y12" s="330">
        <f>IF(AND(O12="ОК", N12&gt;0), N12 * SUMIFS(СТЕКЛО!$C:$C, СТЕКЛО!$A:$A, "Втулки для отверстий в стекле"), 0)</f>
        <v>0</v>
      </c>
      <c r="Z12" s="331">
        <f>IF(O12="ОК", S12 * IFERROR(VLOOKUP(I12, СТЕКЛО!$A:$C, 3, 0), 0), 0)</f>
        <v>0</v>
      </c>
      <c r="AA12" s="332">
        <f>IF(O12="ОК", AF12 * SUMIFS(СТЕКЛО!$C:$C, СТЕКЛО!$A:$A, "Подгонка под Z-12, Z-17, Z-19, Z-20"), 0)</f>
        <v>0</v>
      </c>
      <c r="AB12" s="332">
        <f>IF(OR(O12&lt;&gt;"ОК", K12="", K12="без закалки", ISNUMBER(SEARCH("без", K12))), 0,
 (
   (MAX(0.3 * F12, S12) * IF(SUMIFS(СТЕКЛО!$C:$C, СТЕКЛО!$A:$A, "*Закалк*", СТЕКЛО!$B:$B, "4*")&gt;0,
                              SUMIFS(СТЕКЛО!$C:$C, СТЕКЛО!$A:$A, "*Закалк*", СТЕКЛО!$B:$B, "4*"),
                              SUMIF(СТЕКЛО!$A:$A, "*Закалк*", СТЕКЛО!$C:$C)))
   +
   (R12 * IF(SUMIFS(СТЕКЛО!$C:$C, СТЕКЛО!$A:$A, "*Шлифовк*", СТЕКЛО!$B:$B, "4*")&gt;0,
              SUMIFS(СТЕКЛО!$C:$C, СТЕКЛО!$A:$A, "*Шлифовк*", СТЕКЛО!$B:$B, "4*"),
              SUMIF(СТЕКЛО!$A:$A, "*Шлифовк*", СТЕКЛО!$C:$C)))
 )
 * (1 + IF(AND(MIN(D12, E12)&gt;=30, MIN(D12, E12)&lt;=100), 1, 0) + IF(MAX(D12, E12)&gt;=2500, 1, 0))
)</f>
        <v>0</v>
      </c>
      <c r="AC12" s="333">
        <f>IF(OR(O12&lt;&gt;"ОК", G12="", G12="без присадки", G12="без петель", G12="только присадка"), 0, IF(ISNUMBER(SEARCH("MF", B12)), IF(SUMIF(MF!$A:$A, G12, MF!$C:$C)&gt;0, SUMIF(MF!$A:$A, G12, MF!$C:$C), SUMIF(MZ!$A:$A, G12, MZ!$C:$C)), IF(SUMIF(MZ!$A:$A, G12, MZ!$C:$C)&gt;0, SUMIF(MZ!$A:$A, G12, MZ!$C:$C), SUMIF(MF!$A:$A, G12, MF!$C:$C))) * F12 * IF(OR(ISNUMBER(SEARCH("Salice AIR", G12)), ISNUMBER(SEARCH("(2шт)", G12))), H12, H12))</f>
        <v>0</v>
      </c>
      <c r="AD12" s="333">
        <f>IF(AND(O12="ОК", L12&gt;0, M12&lt;&gt;""), L12 * SUMIFS(СТЕКЛО!$C:$C, СТЕКЛО!$A:$A, "Сверление отверстий", СТЕКЛО!$B:$B, M12), 0)</f>
        <v>0</v>
      </c>
      <c r="AE12" s="333">
        <f>IF(AND(O12="ОК", J12&lt;&gt;"", J12&lt;&gt;"без оклейки"), S12 * IFERROR(VLOOKUP(J12, СТЕКЛО!$A:$C, 3, 0), 0), 0)</f>
        <v>0</v>
      </c>
      <c r="AF12" s="334">
        <f>IF(AND(ISNUMBER(MATCH(B12, {"MZ 12","MZ 17","MZ 19","MZ 20","MZ 20/21","MZ 20/22","MZ 20/25"}, 0)), I12&lt;&gt;"", I12&lt;&gt;"без наполнения"), R12, 0)</f>
        <v>0</v>
      </c>
      <c r="AG12" s="335" t="b">
        <f>IF((COUNTIFS(MZ!$A:$A, B12, MZ!$B:$B, C12) + COUNTIFS(MF!$A:$A, B12, MF!$B:$B, C12))&gt;0, TRUE, FALSE)</f>
        <v>0</v>
      </c>
      <c r="AH12" s="335" t="str">
        <f>IFERROR(VLOOKUP(B12, Данные!$B:$C, 2, 0), "")</f>
        <v/>
      </c>
      <c r="AI12" s="335" t="str">
        <f>IFERROR(VLOOKUP(G12, Данные!$B:$C, 2, 0), "")</f>
        <v/>
      </c>
      <c r="AJ12" s="340" t="b">
        <f>IF(G12="без присадки", IF(IFERROR(VLOOKUP(B12, Данные!$B:$D, 3, 0), "")="можно без присадки", TRUE, FALSE), IF(OR(AH12=AI12, AI12="любой", G12="только присадка", G12=""), TRUE, FALSE))</f>
        <v>1</v>
      </c>
      <c r="AK12" s="364"/>
      <c r="AL12" s="343">
        <f t="shared" si="1"/>
        <v>0</v>
      </c>
    </row>
    <row r="13" spans="1:38" s="149" customFormat="1" ht="43.5" customHeight="1" thickBot="1">
      <c r="A13" s="344">
        <v>9</v>
      </c>
      <c r="B13" s="355"/>
      <c r="C13" s="325"/>
      <c r="D13" s="356"/>
      <c r="E13" s="356"/>
      <c r="F13" s="357"/>
      <c r="G13" s="355"/>
      <c r="H13" s="357"/>
      <c r="I13" s="355"/>
      <c r="J13" s="360"/>
      <c r="K13" s="360"/>
      <c r="L13" s="361"/>
      <c r="M13" s="362"/>
      <c r="N13" s="363"/>
      <c r="O13" s="342" t="str">
        <f>IF(OR(B13="", C13="", D13=0, E13=0, F13=0), "Сделайте выбор",
 IF(OR(D13&lt;200, E13&lt;200), "Мин. размер 200х200!",
 IF(NOT(AG13), "Ошибка цвета!",
 IF(IF(ISNUMBER(SEARCH("MF", B13)), SUMIFS(MF!$C:$C, MF!$A:$A, LEFT(B13, 5), MF!$B:$B, C13), SUMIFS(MZ!$C:$C, MZ!$A:$A, B13, MZ!$B:$B, C13))=0, "Нет актуальной цены!",
 IF(OR(AND(NOT(AJ13), NOT(AND(B13="MZ 04", ISNUMBER(SEARCH("902", G13))))), AND(ISNUMBER(SEARCH("MF20", SUBSTITUTE(G13, " ", ""))), NOT(ISNUMBER(SEARCH("MF 2", B13)))), AND(ISNUMBER(SEARCH("MF50", SUBSTITUTE(G13, " ", ""))), NOT(ISNUMBER(SEARCH("MF 5", B13)))), AND(ISNUMBER(SEARCH("MF70", SUBSTITUTE(G13, " ", ""))), NOT(ISNUMBER(SEARCH("MF 7", B13))))), "Петля не подходит!",
 IF(AND(K13&lt;&gt;"", K13&lt;&gt;"без закалки", OR(ISNUMBER(SEARCH("MF 2", B13)), ISNUMBER(SEARCH("MF 3", B13)))), "В этом профиле закалка невозможна!",
 IF(AND(K13&lt;&gt;"", K13&lt;&gt;"без закалки", ISNUMBER(SEARCH("нельзя закаливать", IFERROR(INDEX(Данные!$E:$E, MATCH(I13, Данные!$B:$B, 0)), "")))), "Это наполнение не закаливают!",
 "ОК")))))))</f>
        <v>Сделайте выбор</v>
      </c>
      <c r="P13" s="430">
        <f t="shared" si="2"/>
        <v>0</v>
      </c>
      <c r="Q13" s="428">
        <f t="shared" si="3"/>
        <v>0</v>
      </c>
      <c r="R13" s="337">
        <f t="shared" si="7"/>
        <v>0</v>
      </c>
      <c r="S13" s="327">
        <f t="shared" si="0"/>
        <v>0</v>
      </c>
      <c r="T13" s="451">
        <f t="shared" si="4"/>
        <v>0</v>
      </c>
      <c r="U13" s="453">
        <f t="shared" si="5"/>
        <v>0</v>
      </c>
      <c r="V13" s="453">
        <f t="shared" si="6"/>
        <v>0</v>
      </c>
      <c r="W13" s="328">
        <f>IFERROR(IF(O13&lt;&gt;"ОК", 0, IF(NOT(ISNUMBER(SEARCH("MF", B13))), IF(ISNUMBER(SEARCH("13-01", B13)), ((R13 - D13*F13/1000) * SUMIFS(MZ!$C:$C, MZ!$A:$A, "MZ 13", MZ!$B:$B, C13) * 0.732) + (F13 * SUMIFS(MZ!$C:$C, MZ!$A:$A, B13, MZ!$B:$B, C13)), R13 * SUMIFS(MZ!$C:$C, MZ!$A:$A, B13, MZ!$B:$B, C13)), IF((LEN(B13)-LEN(SUBSTITUTE(B13,"/","")))=2, (IF(VLOOKUP(LEFT(B13, 5), MF!$A:$D, 4, 0)="хлыст", F13 * ROUNDUP((E13*2/1000) / VLOOKUP(LEFT(B13, 5), MF!$A:$E, 5, 0), 0), (E13*2*F13/1000)) * SUMIFS(MF!$C:$C, MF!$A:$A, LEFT(B13, 5), MF!$B:$B, C13)) + (IF(VLOOKUP("MF "&amp;MID(B13, 7, 2), MF!$A:$D, 4, 0)="хлыст", F13 * ROUNDUP((D13/1000) / VLOOKUP("MF "&amp;MID(B13, 7, 2), MF!$A:$E, 5, 0), 0), (D13*F13/1000)) * SUMIFS(MF!$C:$C, MF!$A:$A, "MF "&amp;MID(B13, 7, 2), MF!$B:$B, C13)) + (IF(VLOOKUP("MF "&amp;RIGHT(B13, 2), MF!$A:$D, 4, 0)="хлыст", F13 * ROUNDUP((D13/1000) / VLOOKUP("MF "&amp;RIGHT(B13, 2), MF!$A:$E, 5, 0), 0), (D13*F13/1000)) * SUMIFS(MF!$C:$C, MF!$A:$A, "MF "&amp;RIGHT(B13, 2), MF!$B:$B, C13)), IF((LEN(B13)-LEN(SUBSTITUTE(B13,"/","")))=1, (IF(VLOOKUP(LEFT(B13, 5), MF!$A:$D, 4, 0)="хлыст", F13 * ROUNDUP(((R13/F13) - D13/1000) / VLOOKUP(LEFT(B13, 5), MF!$A:$E, 5, 0), 0), (R13 - D13*F13/1000)) * SUMIFS(MF!$C:$C, MF!$A:$A, LEFT(B13, 5), MF!$B:$B, C13)) + (IF(VLOOKUP("MF "&amp;RIGHT(B13, 2), MF!$A:$D, 4, 0)="хлыст", F13 * ROUNDUP((D13/1000) / VLOOKUP("MF "&amp;RIGHT(B13, 2), MF!$A:$E, 5, 0), 0), (D13*F13/1000)) * SUMIFS(MF!$C:$C, MF!$A:$A, "MF "&amp;RIGHT(B13, 2), MF!$B:$B, C13)), IF(VLOOKUP(B13, MF!$A:$D, 4, 0)="хлыст", F13 * ROUNDUP((R13/F13) / VLOOKUP(B13, MF!$A:$E, 5, 0), 0), R13) * SUMIFS(MF!$C:$C, MF!$A:$A, B13, MF!$B:$B, C13))))), 0)</f>
        <v>0</v>
      </c>
      <c r="X13" s="329">
        <f>IFERROR(IF(O13&lt;&gt;"ОК", 0, F13 * IF(AND(ISNUMBER(SEARCH("MZ", B13)), ISNUMBER(SEARCH("04", B13)), ISNUMBER(SEARCH("902", G13))), SUMIF(MZ!$A:$A, "Сборка*902*", MZ!$C:$C), IF(ISNUMBER(SEARCH("MF", B13)), IF(ISNUMBER(SEARCH("MF 2", B13)), IF(ISNUMBER(SEARCH("/", B13)), SUMIF(MF!$A:$A, "Сборка фасада MF20/2*", MF!$C:$C), SUMIF(MF!$A:$A, "Сборка фасада MF20", MF!$C:$C)), IF(OR(ISNUMBER(SEARCH("MF 5", B13)), ISNUMBER(SEARCH("MF 7", B13))), SUMIF(MF!$A:$A, "Сборка фасада MF50, MF70*", MF!$C:$C), IF(ISNUMBER(SEARCH("MF 6", B13)), SUMIF(MF!$A:$A, "Сборка фасада MF30, MF60*", MF!$C:$C), IF(ISNUMBER(SEARCH("/", B13)), SUMIF(MF!$A:$A, "Сборка фасада MF30/3*", MF!$C:$C), SUMIF(MF!$A:$A, "Сборка фасада MF30, MF60*", MF!$C:$C))))), SUMIF(MZ!$A:$A, "Сборка+уголки+фрез.под петли*", MZ!$C:$C)))), 0)</f>
        <v>0</v>
      </c>
      <c r="Y13" s="330">
        <f>IF(AND(O13="ОК", N13&gt;0), N13 * SUMIFS(СТЕКЛО!$C:$C, СТЕКЛО!$A:$A, "Втулки для отверстий в стекле"), 0)</f>
        <v>0</v>
      </c>
      <c r="Z13" s="331">
        <f>IF(O13="ОК", S13 * IFERROR(VLOOKUP(I13, СТЕКЛО!$A:$C, 3, 0), 0), 0)</f>
        <v>0</v>
      </c>
      <c r="AA13" s="332">
        <f>IF(O13="ОК", AF13 * SUMIFS(СТЕКЛО!$C:$C, СТЕКЛО!$A:$A, "Подгонка под Z-12, Z-17, Z-19, Z-20"), 0)</f>
        <v>0</v>
      </c>
      <c r="AB13" s="332">
        <f>IF(OR(O13&lt;&gt;"ОК", K13="", K13="без закалки", ISNUMBER(SEARCH("без", K13))), 0,
 (
   (MAX(0.3 * F13, S13) * IF(SUMIFS(СТЕКЛО!$C:$C, СТЕКЛО!$A:$A, "*Закалк*", СТЕКЛО!$B:$B, "4*")&gt;0,
                              SUMIFS(СТЕКЛО!$C:$C, СТЕКЛО!$A:$A, "*Закалк*", СТЕКЛО!$B:$B, "4*"),
                              SUMIF(СТЕКЛО!$A:$A, "*Закалк*", СТЕКЛО!$C:$C)))
   +
   (R13 * IF(SUMIFS(СТЕКЛО!$C:$C, СТЕКЛО!$A:$A, "*Шлифовк*", СТЕКЛО!$B:$B, "4*")&gt;0,
              SUMIFS(СТЕКЛО!$C:$C, СТЕКЛО!$A:$A, "*Шлифовк*", СТЕКЛО!$B:$B, "4*"),
              SUMIF(СТЕКЛО!$A:$A, "*Шлифовк*", СТЕКЛО!$C:$C)))
 )
 * (1 + IF(AND(MIN(D13, E13)&gt;=30, MIN(D13, E13)&lt;=100), 1, 0) + IF(MAX(D13, E13)&gt;=2500, 1, 0))
)</f>
        <v>0</v>
      </c>
      <c r="AC13" s="333">
        <f>IF(OR(O13&lt;&gt;"ОК", G13="", G13="без присадки", G13="без петель", G13="только присадка"), 0, IF(ISNUMBER(SEARCH("MF", B13)), IF(SUMIF(MF!$A:$A, G13, MF!$C:$C)&gt;0, SUMIF(MF!$A:$A, G13, MF!$C:$C), SUMIF(MZ!$A:$A, G13, MZ!$C:$C)), IF(SUMIF(MZ!$A:$A, G13, MZ!$C:$C)&gt;0, SUMIF(MZ!$A:$A, G13, MZ!$C:$C), SUMIF(MF!$A:$A, G13, MF!$C:$C))) * F13 * IF(OR(ISNUMBER(SEARCH("Salice AIR", G13)), ISNUMBER(SEARCH("(2шт)", G13))), H13, H13))</f>
        <v>0</v>
      </c>
      <c r="AD13" s="333">
        <f>IF(AND(O13="ОК", L13&gt;0, M13&lt;&gt;""), L13 * SUMIFS(СТЕКЛО!$C:$C, СТЕКЛО!$A:$A, "Сверление отверстий", СТЕКЛО!$B:$B, M13), 0)</f>
        <v>0</v>
      </c>
      <c r="AE13" s="333">
        <f>IF(AND(O13="ОК", J13&lt;&gt;"", J13&lt;&gt;"без оклейки"), S13 * IFERROR(VLOOKUP(J13, СТЕКЛО!$A:$C, 3, 0), 0), 0)</f>
        <v>0</v>
      </c>
      <c r="AF13" s="334">
        <f>IF(AND(ISNUMBER(MATCH(B13, {"MZ 12","MZ 17","MZ 19","MZ 20","MZ 20/21","MZ 20/22","MZ 20/25"}, 0)), I13&lt;&gt;"", I13&lt;&gt;"без наполнения"), R13, 0)</f>
        <v>0</v>
      </c>
      <c r="AG13" s="335" t="b">
        <f>IF((COUNTIFS(MZ!$A:$A, B13, MZ!$B:$B, C13) + COUNTIFS(MF!$A:$A, B13, MF!$B:$B, C13))&gt;0, TRUE, FALSE)</f>
        <v>0</v>
      </c>
      <c r="AH13" s="335" t="str">
        <f>IFERROR(VLOOKUP(B13, Данные!$B:$C, 2, 0), "")</f>
        <v/>
      </c>
      <c r="AI13" s="335" t="str">
        <f>IFERROR(VLOOKUP(G13, Данные!$B:$C, 2, 0), "")</f>
        <v/>
      </c>
      <c r="AJ13" s="340" t="b">
        <f>IF(G13="без присадки", IF(IFERROR(VLOOKUP(B13, Данные!$B:$D, 3, 0), "")="можно без присадки", TRUE, FALSE), IF(OR(AH13=AI13, AI13="любой", G13="только присадка", G13=""), TRUE, FALSE))</f>
        <v>1</v>
      </c>
      <c r="AK13" s="364"/>
      <c r="AL13" s="343">
        <f t="shared" si="1"/>
        <v>0</v>
      </c>
    </row>
    <row r="14" spans="1:38" s="149" customFormat="1" ht="43.5" customHeight="1" thickBot="1">
      <c r="A14" s="344">
        <v>10</v>
      </c>
      <c r="B14" s="355"/>
      <c r="C14" s="325"/>
      <c r="D14" s="356"/>
      <c r="E14" s="356"/>
      <c r="F14" s="357"/>
      <c r="G14" s="355"/>
      <c r="H14" s="357"/>
      <c r="I14" s="355"/>
      <c r="J14" s="360"/>
      <c r="K14" s="360"/>
      <c r="L14" s="361"/>
      <c r="M14" s="362"/>
      <c r="N14" s="363"/>
      <c r="O14" s="342" t="str">
        <f>IF(OR(B14="", C14="", D14=0, E14=0, F14=0), "Сделайте выбор",
 IF(OR(D14&lt;200, E14&lt;200), "Мин. размер 200х200!",
 IF(NOT(AG14), "Ошибка цвета!",
 IF(IF(ISNUMBER(SEARCH("MF", B14)), SUMIFS(MF!$C:$C, MF!$A:$A, LEFT(B14, 5), MF!$B:$B, C14), SUMIFS(MZ!$C:$C, MZ!$A:$A, B14, MZ!$B:$B, C14))=0, "Нет актуальной цены!",
 IF(OR(AND(NOT(AJ14), NOT(AND(B14="MZ 04", ISNUMBER(SEARCH("902", G14))))), AND(ISNUMBER(SEARCH("MF20", SUBSTITUTE(G14, " ", ""))), NOT(ISNUMBER(SEARCH("MF 2", B14)))), AND(ISNUMBER(SEARCH("MF50", SUBSTITUTE(G14, " ", ""))), NOT(ISNUMBER(SEARCH("MF 5", B14)))), AND(ISNUMBER(SEARCH("MF70", SUBSTITUTE(G14, " ", ""))), NOT(ISNUMBER(SEARCH("MF 7", B14))))), "Петля не подходит!",
 IF(AND(K14&lt;&gt;"", K14&lt;&gt;"без закалки", OR(ISNUMBER(SEARCH("MF 2", B14)), ISNUMBER(SEARCH("MF 3", B14)))), "В этом профиле закалка невозможна!",
 IF(AND(K14&lt;&gt;"", K14&lt;&gt;"без закалки", ISNUMBER(SEARCH("нельзя закаливать", IFERROR(INDEX(Данные!$E:$E, MATCH(I14, Данные!$B:$B, 0)), "")))), "Это наполнение не закаливают!",
 "ОК")))))))</f>
        <v>Сделайте выбор</v>
      </c>
      <c r="P14" s="430">
        <f t="shared" si="2"/>
        <v>0</v>
      </c>
      <c r="Q14" s="428">
        <f t="shared" si="3"/>
        <v>0</v>
      </c>
      <c r="R14" s="337">
        <f t="shared" si="7"/>
        <v>0</v>
      </c>
      <c r="S14" s="327">
        <f t="shared" si="0"/>
        <v>0</v>
      </c>
      <c r="T14" s="451">
        <f t="shared" si="4"/>
        <v>0</v>
      </c>
      <c r="U14" s="453">
        <f t="shared" si="5"/>
        <v>0</v>
      </c>
      <c r="V14" s="453">
        <f t="shared" si="6"/>
        <v>0</v>
      </c>
      <c r="W14" s="328">
        <f>IFERROR(IF(O14&lt;&gt;"ОК", 0, IF(NOT(ISNUMBER(SEARCH("MF", B14))), IF(ISNUMBER(SEARCH("13-01", B14)), ((R14 - D14*F14/1000) * SUMIFS(MZ!$C:$C, MZ!$A:$A, "MZ 13", MZ!$B:$B, C14) * 0.732) + (F14 * SUMIFS(MZ!$C:$C, MZ!$A:$A, B14, MZ!$B:$B, C14)), R14 * SUMIFS(MZ!$C:$C, MZ!$A:$A, B14, MZ!$B:$B, C14)), IF((LEN(B14)-LEN(SUBSTITUTE(B14,"/","")))=2, (IF(VLOOKUP(LEFT(B14, 5), MF!$A:$D, 4, 0)="хлыст", F14 * ROUNDUP((E14*2/1000) / VLOOKUP(LEFT(B14, 5), MF!$A:$E, 5, 0), 0), (E14*2*F14/1000)) * SUMIFS(MF!$C:$C, MF!$A:$A, LEFT(B14, 5), MF!$B:$B, C14)) + (IF(VLOOKUP("MF "&amp;MID(B14, 7, 2), MF!$A:$D, 4, 0)="хлыст", F14 * ROUNDUP((D14/1000) / VLOOKUP("MF "&amp;MID(B14, 7, 2), MF!$A:$E, 5, 0), 0), (D14*F14/1000)) * SUMIFS(MF!$C:$C, MF!$A:$A, "MF "&amp;MID(B14, 7, 2), MF!$B:$B, C14)) + (IF(VLOOKUP("MF "&amp;RIGHT(B14, 2), MF!$A:$D, 4, 0)="хлыст", F14 * ROUNDUP((D14/1000) / VLOOKUP("MF "&amp;RIGHT(B14, 2), MF!$A:$E, 5, 0), 0), (D14*F14/1000)) * SUMIFS(MF!$C:$C, MF!$A:$A, "MF "&amp;RIGHT(B14, 2), MF!$B:$B, C14)), IF((LEN(B14)-LEN(SUBSTITUTE(B14,"/","")))=1, (IF(VLOOKUP(LEFT(B14, 5), MF!$A:$D, 4, 0)="хлыст", F14 * ROUNDUP(((R14/F14) - D14/1000) / VLOOKUP(LEFT(B14, 5), MF!$A:$E, 5, 0), 0), (R14 - D14*F14/1000)) * SUMIFS(MF!$C:$C, MF!$A:$A, LEFT(B14, 5), MF!$B:$B, C14)) + (IF(VLOOKUP("MF "&amp;RIGHT(B14, 2), MF!$A:$D, 4, 0)="хлыст", F14 * ROUNDUP((D14/1000) / VLOOKUP("MF "&amp;RIGHT(B14, 2), MF!$A:$E, 5, 0), 0), (D14*F14/1000)) * SUMIFS(MF!$C:$C, MF!$A:$A, "MF "&amp;RIGHT(B14, 2), MF!$B:$B, C14)), IF(VLOOKUP(B14, MF!$A:$D, 4, 0)="хлыст", F14 * ROUNDUP((R14/F14) / VLOOKUP(B14, MF!$A:$E, 5, 0), 0), R14) * SUMIFS(MF!$C:$C, MF!$A:$A, B14, MF!$B:$B, C14))))), 0)</f>
        <v>0</v>
      </c>
      <c r="X14" s="329">
        <f>IFERROR(IF(O14&lt;&gt;"ОК", 0, F14 * IF(AND(ISNUMBER(SEARCH("MZ", B14)), ISNUMBER(SEARCH("04", B14)), ISNUMBER(SEARCH("902", G14))), SUMIF(MZ!$A:$A, "Сборка*902*", MZ!$C:$C), IF(ISNUMBER(SEARCH("MF", B14)), IF(ISNUMBER(SEARCH("MF 2", B14)), IF(ISNUMBER(SEARCH("/", B14)), SUMIF(MF!$A:$A, "Сборка фасада MF20/2*", MF!$C:$C), SUMIF(MF!$A:$A, "Сборка фасада MF20", MF!$C:$C)), IF(OR(ISNUMBER(SEARCH("MF 5", B14)), ISNUMBER(SEARCH("MF 7", B14))), SUMIF(MF!$A:$A, "Сборка фасада MF50, MF70*", MF!$C:$C), IF(ISNUMBER(SEARCH("MF 6", B14)), SUMIF(MF!$A:$A, "Сборка фасада MF30, MF60*", MF!$C:$C), IF(ISNUMBER(SEARCH("/", B14)), SUMIF(MF!$A:$A, "Сборка фасада MF30/3*", MF!$C:$C), SUMIF(MF!$A:$A, "Сборка фасада MF30, MF60*", MF!$C:$C))))), SUMIF(MZ!$A:$A, "Сборка+уголки+фрез.под петли*", MZ!$C:$C)))), 0)</f>
        <v>0</v>
      </c>
      <c r="Y14" s="330">
        <f>IF(AND(O14="ОК", N14&gt;0), N14 * SUMIFS(СТЕКЛО!$C:$C, СТЕКЛО!$A:$A, "Втулки для отверстий в стекле"), 0)</f>
        <v>0</v>
      </c>
      <c r="Z14" s="331">
        <f>IF(O14="ОК", S14 * IFERROR(VLOOKUP(I14, СТЕКЛО!$A:$C, 3, 0), 0), 0)</f>
        <v>0</v>
      </c>
      <c r="AA14" s="332">
        <f>IF(O14="ОК", AF14 * SUMIFS(СТЕКЛО!$C:$C, СТЕКЛО!$A:$A, "Подгонка под Z-12, Z-17, Z-19, Z-20"), 0)</f>
        <v>0</v>
      </c>
      <c r="AB14" s="332">
        <f>IF(OR(O14&lt;&gt;"ОК", K14="", K14="без закалки", ISNUMBER(SEARCH("без", K14))), 0,
 (
   (MAX(0.3 * F14, S14) * IF(SUMIFS(СТЕКЛО!$C:$C, СТЕКЛО!$A:$A, "*Закалк*", СТЕКЛО!$B:$B, "4*")&gt;0,
                              SUMIFS(СТЕКЛО!$C:$C, СТЕКЛО!$A:$A, "*Закалк*", СТЕКЛО!$B:$B, "4*"),
                              SUMIF(СТЕКЛО!$A:$A, "*Закалк*", СТЕКЛО!$C:$C)))
   +
   (R14 * IF(SUMIFS(СТЕКЛО!$C:$C, СТЕКЛО!$A:$A, "*Шлифовк*", СТЕКЛО!$B:$B, "4*")&gt;0,
              SUMIFS(СТЕКЛО!$C:$C, СТЕКЛО!$A:$A, "*Шлифовк*", СТЕКЛО!$B:$B, "4*"),
              SUMIF(СТЕКЛО!$A:$A, "*Шлифовк*", СТЕКЛО!$C:$C)))
 )
 * (1 + IF(AND(MIN(D14, E14)&gt;=30, MIN(D14, E14)&lt;=100), 1, 0) + IF(MAX(D14, E14)&gt;=2500, 1, 0))
)</f>
        <v>0</v>
      </c>
      <c r="AC14" s="333">
        <f>IF(OR(O14&lt;&gt;"ОК", G14="", G14="без присадки", G14="без петель", G14="только присадка"), 0, IF(ISNUMBER(SEARCH("MF", B14)), IF(SUMIF(MF!$A:$A, G14, MF!$C:$C)&gt;0, SUMIF(MF!$A:$A, G14, MF!$C:$C), SUMIF(MZ!$A:$A, G14, MZ!$C:$C)), IF(SUMIF(MZ!$A:$A, G14, MZ!$C:$C)&gt;0, SUMIF(MZ!$A:$A, G14, MZ!$C:$C), SUMIF(MF!$A:$A, G14, MF!$C:$C))) * F14 * IF(OR(ISNUMBER(SEARCH("Salice AIR", G14)), ISNUMBER(SEARCH("(2шт)", G14))), H14, H14))</f>
        <v>0</v>
      </c>
      <c r="AD14" s="333">
        <f>IF(AND(O14="ОК", L14&gt;0, M14&lt;&gt;""), L14 * SUMIFS(СТЕКЛО!$C:$C, СТЕКЛО!$A:$A, "Сверление отверстий", СТЕКЛО!$B:$B, M14), 0)</f>
        <v>0</v>
      </c>
      <c r="AE14" s="333">
        <f>IF(AND(O14="ОК", J14&lt;&gt;"", J14&lt;&gt;"без оклейки"), S14 * IFERROR(VLOOKUP(J14, СТЕКЛО!$A:$C, 3, 0), 0), 0)</f>
        <v>0</v>
      </c>
      <c r="AF14" s="334">
        <f>IF(AND(ISNUMBER(MATCH(B14, {"MZ 12","MZ 17","MZ 19","MZ 20","MZ 20/21","MZ 20/22","MZ 20/25"}, 0)), I14&lt;&gt;"", I14&lt;&gt;"без наполнения"), R14, 0)</f>
        <v>0</v>
      </c>
      <c r="AG14" s="335" t="b">
        <f>IF((COUNTIFS(MZ!$A:$A, B14, MZ!$B:$B, C14) + COUNTIFS(MF!$A:$A, B14, MF!$B:$B, C14))&gt;0, TRUE, FALSE)</f>
        <v>0</v>
      </c>
      <c r="AH14" s="335" t="str">
        <f>IFERROR(VLOOKUP(B14, Данные!$B:$C, 2, 0), "")</f>
        <v/>
      </c>
      <c r="AI14" s="335" t="str">
        <f>IFERROR(VLOOKUP(G14, Данные!$B:$C, 2, 0), "")</f>
        <v/>
      </c>
      <c r="AJ14" s="340" t="b">
        <f>IF(G14="без присадки", IF(IFERROR(VLOOKUP(B14, Данные!$B:$D, 3, 0), "")="можно без присадки", TRUE, FALSE), IF(OR(AH14=AI14, AI14="любой", G14="только присадка", G14=""), TRUE, FALSE))</f>
        <v>1</v>
      </c>
      <c r="AK14" s="364"/>
      <c r="AL14" s="343">
        <f t="shared" si="1"/>
        <v>0</v>
      </c>
    </row>
    <row r="15" spans="1:38" s="149" customFormat="1" ht="43.5" customHeight="1" thickBot="1">
      <c r="A15" s="344">
        <v>11</v>
      </c>
      <c r="B15" s="355"/>
      <c r="C15" s="325"/>
      <c r="D15" s="356"/>
      <c r="E15" s="356"/>
      <c r="F15" s="357"/>
      <c r="G15" s="355"/>
      <c r="H15" s="357"/>
      <c r="I15" s="355"/>
      <c r="J15" s="360"/>
      <c r="K15" s="360"/>
      <c r="L15" s="361"/>
      <c r="M15" s="362"/>
      <c r="N15" s="363"/>
      <c r="O15" s="342" t="str">
        <f>IF(OR(B15="", C15="", D15=0, E15=0, F15=0), "Сделайте выбор",
 IF(OR(D15&lt;200, E15&lt;200), "Мин. размер 200х200!",
 IF(NOT(AG15), "Ошибка цвета!",
 IF(IF(ISNUMBER(SEARCH("MF", B15)), SUMIFS(MF!$C:$C, MF!$A:$A, LEFT(B15, 5), MF!$B:$B, C15), SUMIFS(MZ!$C:$C, MZ!$A:$A, B15, MZ!$B:$B, C15))=0, "Нет актуальной цены!",
 IF(OR(AND(NOT(AJ15), NOT(AND(B15="MZ 04", ISNUMBER(SEARCH("902", G15))))), AND(ISNUMBER(SEARCH("MF20", SUBSTITUTE(G15, " ", ""))), NOT(ISNUMBER(SEARCH("MF 2", B15)))), AND(ISNUMBER(SEARCH("MF50", SUBSTITUTE(G15, " ", ""))), NOT(ISNUMBER(SEARCH("MF 5", B15)))), AND(ISNUMBER(SEARCH("MF70", SUBSTITUTE(G15, " ", ""))), NOT(ISNUMBER(SEARCH("MF 7", B15))))), "Петля не подходит!",
 IF(AND(K15&lt;&gt;"", K15&lt;&gt;"без закалки", OR(ISNUMBER(SEARCH("MF 2", B15)), ISNUMBER(SEARCH("MF 3", B15)))), "В этом профиле закалка невозможна!",
 IF(AND(K15&lt;&gt;"", K15&lt;&gt;"без закалки", ISNUMBER(SEARCH("нельзя закаливать", IFERROR(INDEX(Данные!$E:$E, MATCH(I15, Данные!$B:$B, 0)), "")))), "Это наполнение не закаливают!",
 "ОК")))))))</f>
        <v>Сделайте выбор</v>
      </c>
      <c r="P15" s="430">
        <f t="shared" si="2"/>
        <v>0</v>
      </c>
      <c r="Q15" s="428">
        <f t="shared" si="3"/>
        <v>0</v>
      </c>
      <c r="R15" s="337">
        <f t="shared" si="7"/>
        <v>0</v>
      </c>
      <c r="S15" s="327">
        <f t="shared" si="0"/>
        <v>0</v>
      </c>
      <c r="T15" s="451">
        <f t="shared" si="4"/>
        <v>0</v>
      </c>
      <c r="U15" s="453">
        <f t="shared" si="5"/>
        <v>0</v>
      </c>
      <c r="V15" s="453">
        <f t="shared" si="6"/>
        <v>0</v>
      </c>
      <c r="W15" s="328">
        <f>IFERROR(IF(O15&lt;&gt;"ОК", 0, IF(NOT(ISNUMBER(SEARCH("MF", B15))), IF(ISNUMBER(SEARCH("13-01", B15)), ((R15 - D15*F15/1000) * SUMIFS(MZ!$C:$C, MZ!$A:$A, "MZ 13", MZ!$B:$B, C15) * 0.732) + (F15 * SUMIFS(MZ!$C:$C, MZ!$A:$A, B15, MZ!$B:$B, C15)), R15 * SUMIFS(MZ!$C:$C, MZ!$A:$A, B15, MZ!$B:$B, C15)), IF((LEN(B15)-LEN(SUBSTITUTE(B15,"/","")))=2, (IF(VLOOKUP(LEFT(B15, 5), MF!$A:$D, 4, 0)="хлыст", F15 * ROUNDUP((E15*2/1000) / VLOOKUP(LEFT(B15, 5), MF!$A:$E, 5, 0), 0), (E15*2*F15/1000)) * SUMIFS(MF!$C:$C, MF!$A:$A, LEFT(B15, 5), MF!$B:$B, C15)) + (IF(VLOOKUP("MF "&amp;MID(B15, 7, 2), MF!$A:$D, 4, 0)="хлыст", F15 * ROUNDUP((D15/1000) / VLOOKUP("MF "&amp;MID(B15, 7, 2), MF!$A:$E, 5, 0), 0), (D15*F15/1000)) * SUMIFS(MF!$C:$C, MF!$A:$A, "MF "&amp;MID(B15, 7, 2), MF!$B:$B, C15)) + (IF(VLOOKUP("MF "&amp;RIGHT(B15, 2), MF!$A:$D, 4, 0)="хлыст", F15 * ROUNDUP((D15/1000) / VLOOKUP("MF "&amp;RIGHT(B15, 2), MF!$A:$E, 5, 0), 0), (D15*F15/1000)) * SUMIFS(MF!$C:$C, MF!$A:$A, "MF "&amp;RIGHT(B15, 2), MF!$B:$B, C15)), IF((LEN(B15)-LEN(SUBSTITUTE(B15,"/","")))=1, (IF(VLOOKUP(LEFT(B15, 5), MF!$A:$D, 4, 0)="хлыст", F15 * ROUNDUP(((R15/F15) - D15/1000) / VLOOKUP(LEFT(B15, 5), MF!$A:$E, 5, 0), 0), (R15 - D15*F15/1000)) * SUMIFS(MF!$C:$C, MF!$A:$A, LEFT(B15, 5), MF!$B:$B, C15)) + (IF(VLOOKUP("MF "&amp;RIGHT(B15, 2), MF!$A:$D, 4, 0)="хлыст", F15 * ROUNDUP((D15/1000) / VLOOKUP("MF "&amp;RIGHT(B15, 2), MF!$A:$E, 5, 0), 0), (D15*F15/1000)) * SUMIFS(MF!$C:$C, MF!$A:$A, "MF "&amp;RIGHT(B15, 2), MF!$B:$B, C15)), IF(VLOOKUP(B15, MF!$A:$D, 4, 0)="хлыст", F15 * ROUNDUP((R15/F15) / VLOOKUP(B15, MF!$A:$E, 5, 0), 0), R15) * SUMIFS(MF!$C:$C, MF!$A:$A, B15, MF!$B:$B, C15))))), 0)</f>
        <v>0</v>
      </c>
      <c r="X15" s="329">
        <f>IFERROR(IF(O15&lt;&gt;"ОК", 0, F15 * IF(AND(ISNUMBER(SEARCH("MZ", B15)), ISNUMBER(SEARCH("04", B15)), ISNUMBER(SEARCH("902", G15))), SUMIF(MZ!$A:$A, "Сборка*902*", MZ!$C:$C), IF(ISNUMBER(SEARCH("MF", B15)), IF(ISNUMBER(SEARCH("MF 2", B15)), IF(ISNUMBER(SEARCH("/", B15)), SUMIF(MF!$A:$A, "Сборка фасада MF20/2*", MF!$C:$C), SUMIF(MF!$A:$A, "Сборка фасада MF20", MF!$C:$C)), IF(OR(ISNUMBER(SEARCH("MF 5", B15)), ISNUMBER(SEARCH("MF 7", B15))), SUMIF(MF!$A:$A, "Сборка фасада MF50, MF70*", MF!$C:$C), IF(ISNUMBER(SEARCH("MF 6", B15)), SUMIF(MF!$A:$A, "Сборка фасада MF30, MF60*", MF!$C:$C), IF(ISNUMBER(SEARCH("/", B15)), SUMIF(MF!$A:$A, "Сборка фасада MF30/3*", MF!$C:$C), SUMIF(MF!$A:$A, "Сборка фасада MF30, MF60*", MF!$C:$C))))), SUMIF(MZ!$A:$A, "Сборка+уголки+фрез.под петли*", MZ!$C:$C)))), 0)</f>
        <v>0</v>
      </c>
      <c r="Y15" s="330">
        <f>IF(AND(O15="ОК", N15&gt;0), N15 * SUMIFS(СТЕКЛО!$C:$C, СТЕКЛО!$A:$A, "Втулки для отверстий в стекле"), 0)</f>
        <v>0</v>
      </c>
      <c r="Z15" s="331">
        <f>IF(O15="ОК", S15 * IFERROR(VLOOKUP(I15, СТЕКЛО!$A:$C, 3, 0), 0), 0)</f>
        <v>0</v>
      </c>
      <c r="AA15" s="332">
        <f>IF(O15="ОК", AF15 * SUMIFS(СТЕКЛО!$C:$C, СТЕКЛО!$A:$A, "Подгонка под Z-12, Z-17, Z-19, Z-20"), 0)</f>
        <v>0</v>
      </c>
      <c r="AB15" s="332">
        <f>IF(OR(O15&lt;&gt;"ОК", K15="", K15="без закалки", ISNUMBER(SEARCH("без", K15))), 0,
 (
   (MAX(0.3 * F15, S15) * IF(SUMIFS(СТЕКЛО!$C:$C, СТЕКЛО!$A:$A, "*Закалк*", СТЕКЛО!$B:$B, "4*")&gt;0,
                              SUMIFS(СТЕКЛО!$C:$C, СТЕКЛО!$A:$A, "*Закалк*", СТЕКЛО!$B:$B, "4*"),
                              SUMIF(СТЕКЛО!$A:$A, "*Закалк*", СТЕКЛО!$C:$C)))
   +
   (R15 * IF(SUMIFS(СТЕКЛО!$C:$C, СТЕКЛО!$A:$A, "*Шлифовк*", СТЕКЛО!$B:$B, "4*")&gt;0,
              SUMIFS(СТЕКЛО!$C:$C, СТЕКЛО!$A:$A, "*Шлифовк*", СТЕКЛО!$B:$B, "4*"),
              SUMIF(СТЕКЛО!$A:$A, "*Шлифовк*", СТЕКЛО!$C:$C)))
 )
 * (1 + IF(AND(MIN(D15, E15)&gt;=30, MIN(D15, E15)&lt;=100), 1, 0) + IF(MAX(D15, E15)&gt;=2500, 1, 0))
)</f>
        <v>0</v>
      </c>
      <c r="AC15" s="333">
        <f>IF(OR(O15&lt;&gt;"ОК", G15="", G15="без присадки", G15="без петель", G15="только присадка"), 0, IF(ISNUMBER(SEARCH("MF", B15)), IF(SUMIF(MF!$A:$A, G15, MF!$C:$C)&gt;0, SUMIF(MF!$A:$A, G15, MF!$C:$C), SUMIF(MZ!$A:$A, G15, MZ!$C:$C)), IF(SUMIF(MZ!$A:$A, G15, MZ!$C:$C)&gt;0, SUMIF(MZ!$A:$A, G15, MZ!$C:$C), SUMIF(MF!$A:$A, G15, MF!$C:$C))) * F15 * IF(OR(ISNUMBER(SEARCH("Salice AIR", G15)), ISNUMBER(SEARCH("(2шт)", G15))), H15, H15))</f>
        <v>0</v>
      </c>
      <c r="AD15" s="333">
        <f>IF(AND(O15="ОК", L15&gt;0, M15&lt;&gt;""), L15 * SUMIFS(СТЕКЛО!$C:$C, СТЕКЛО!$A:$A, "Сверление отверстий", СТЕКЛО!$B:$B, M15), 0)</f>
        <v>0</v>
      </c>
      <c r="AE15" s="333">
        <f>IF(AND(O15="ОК", J15&lt;&gt;"", J15&lt;&gt;"без оклейки"), S15 * IFERROR(VLOOKUP(J15, СТЕКЛО!$A:$C, 3, 0), 0), 0)</f>
        <v>0</v>
      </c>
      <c r="AF15" s="334">
        <f>IF(AND(ISNUMBER(MATCH(B15, {"MZ 12","MZ 17","MZ 19","MZ 20","MZ 20/21","MZ 20/22","MZ 20/25"}, 0)), I15&lt;&gt;"", I15&lt;&gt;"без наполнения"), R15, 0)</f>
        <v>0</v>
      </c>
      <c r="AG15" s="335" t="b">
        <f>IF((COUNTIFS(MZ!$A:$A, B15, MZ!$B:$B, C15) + COUNTIFS(MF!$A:$A, B15, MF!$B:$B, C15))&gt;0, TRUE, FALSE)</f>
        <v>0</v>
      </c>
      <c r="AH15" s="335" t="str">
        <f>IFERROR(VLOOKUP(B15, Данные!$B:$C, 2, 0), "")</f>
        <v/>
      </c>
      <c r="AI15" s="335" t="str">
        <f>IFERROR(VLOOKUP(G15, Данные!$B:$C, 2, 0), "")</f>
        <v/>
      </c>
      <c r="AJ15" s="340" t="b">
        <f>IF(G15="без присадки", IF(IFERROR(VLOOKUP(B15, Данные!$B:$D, 3, 0), "")="можно без присадки", TRUE, FALSE), IF(OR(AH15=AI15, AI15="любой", G15="только присадка", G15=""), TRUE, FALSE))</f>
        <v>1</v>
      </c>
      <c r="AK15" s="364"/>
      <c r="AL15" s="343">
        <f t="shared" si="1"/>
        <v>0</v>
      </c>
    </row>
    <row r="16" spans="1:38" s="149" customFormat="1" ht="43.5" customHeight="1" thickBot="1">
      <c r="A16" s="344">
        <v>12</v>
      </c>
      <c r="B16" s="355"/>
      <c r="C16" s="325"/>
      <c r="D16" s="356"/>
      <c r="E16" s="356"/>
      <c r="F16" s="357"/>
      <c r="G16" s="355"/>
      <c r="H16" s="357"/>
      <c r="I16" s="355"/>
      <c r="J16" s="360"/>
      <c r="K16" s="360"/>
      <c r="L16" s="361"/>
      <c r="M16" s="362"/>
      <c r="N16" s="363"/>
      <c r="O16" s="342" t="str">
        <f>IF(OR(B16="", C16="", D16=0, E16=0, F16=0), "Сделайте выбор",
 IF(OR(D16&lt;200, E16&lt;200), "Мин. размер 200х200!",
 IF(NOT(AG16), "Ошибка цвета!",
 IF(IF(ISNUMBER(SEARCH("MF", B16)), SUMIFS(MF!$C:$C, MF!$A:$A, LEFT(B16, 5), MF!$B:$B, C16), SUMIFS(MZ!$C:$C, MZ!$A:$A, B16, MZ!$B:$B, C16))=0, "Нет актуальной цены!",
 IF(OR(AND(NOT(AJ16), NOT(AND(B16="MZ 04", ISNUMBER(SEARCH("902", G16))))), AND(ISNUMBER(SEARCH("MF20", SUBSTITUTE(G16, " ", ""))), NOT(ISNUMBER(SEARCH("MF 2", B16)))), AND(ISNUMBER(SEARCH("MF50", SUBSTITUTE(G16, " ", ""))), NOT(ISNUMBER(SEARCH("MF 5", B16)))), AND(ISNUMBER(SEARCH("MF70", SUBSTITUTE(G16, " ", ""))), NOT(ISNUMBER(SEARCH("MF 7", B16))))), "Петля не подходит!",
 IF(AND(K16&lt;&gt;"", K16&lt;&gt;"без закалки", OR(ISNUMBER(SEARCH("MF 2", B16)), ISNUMBER(SEARCH("MF 3", B16)))), "В этом профиле закалка невозможна!",
 IF(AND(K16&lt;&gt;"", K16&lt;&gt;"без закалки", ISNUMBER(SEARCH("нельзя закаливать", IFERROR(INDEX(Данные!$E:$E, MATCH(I16, Данные!$B:$B, 0)), "")))), "Это наполнение не закаливают!",
 "ОК")))))))</f>
        <v>Сделайте выбор</v>
      </c>
      <c r="P16" s="430">
        <f t="shared" si="2"/>
        <v>0</v>
      </c>
      <c r="Q16" s="428">
        <f t="shared" si="3"/>
        <v>0</v>
      </c>
      <c r="R16" s="338">
        <f t="shared" si="7"/>
        <v>0</v>
      </c>
      <c r="S16" s="327">
        <f t="shared" si="0"/>
        <v>0</v>
      </c>
      <c r="T16" s="451">
        <f t="shared" si="4"/>
        <v>0</v>
      </c>
      <c r="U16" s="453">
        <f t="shared" si="5"/>
        <v>0</v>
      </c>
      <c r="V16" s="453">
        <f t="shared" si="6"/>
        <v>0</v>
      </c>
      <c r="W16" s="328">
        <f>IFERROR(IF(O16&lt;&gt;"ОК", 0, IF(NOT(ISNUMBER(SEARCH("MF", B16))), IF(ISNUMBER(SEARCH("13-01", B16)), ((R16 - D16*F16/1000) * SUMIFS(MZ!$C:$C, MZ!$A:$A, "MZ 13", MZ!$B:$B, C16) * 0.732) + (F16 * SUMIFS(MZ!$C:$C, MZ!$A:$A, B16, MZ!$B:$B, C16)), R16 * SUMIFS(MZ!$C:$C, MZ!$A:$A, B16, MZ!$B:$B, C16)), IF((LEN(B16)-LEN(SUBSTITUTE(B16,"/","")))=2, (IF(VLOOKUP(LEFT(B16, 5), MF!$A:$D, 4, 0)="хлыст", F16 * ROUNDUP((E16*2/1000) / VLOOKUP(LEFT(B16, 5), MF!$A:$E, 5, 0), 0), (E16*2*F16/1000)) * SUMIFS(MF!$C:$C, MF!$A:$A, LEFT(B16, 5), MF!$B:$B, C16)) + (IF(VLOOKUP("MF "&amp;MID(B16, 7, 2), MF!$A:$D, 4, 0)="хлыст", F16 * ROUNDUP((D16/1000) / VLOOKUP("MF "&amp;MID(B16, 7, 2), MF!$A:$E, 5, 0), 0), (D16*F16/1000)) * SUMIFS(MF!$C:$C, MF!$A:$A, "MF "&amp;MID(B16, 7, 2), MF!$B:$B, C16)) + (IF(VLOOKUP("MF "&amp;RIGHT(B16, 2), MF!$A:$D, 4, 0)="хлыст", F16 * ROUNDUP((D16/1000) / VLOOKUP("MF "&amp;RIGHT(B16, 2), MF!$A:$E, 5, 0), 0), (D16*F16/1000)) * SUMIFS(MF!$C:$C, MF!$A:$A, "MF "&amp;RIGHT(B16, 2), MF!$B:$B, C16)), IF((LEN(B16)-LEN(SUBSTITUTE(B16,"/","")))=1, (IF(VLOOKUP(LEFT(B16, 5), MF!$A:$D, 4, 0)="хлыст", F16 * ROUNDUP(((R16/F16) - D16/1000) / VLOOKUP(LEFT(B16, 5), MF!$A:$E, 5, 0), 0), (R16 - D16*F16/1000)) * SUMIFS(MF!$C:$C, MF!$A:$A, LEFT(B16, 5), MF!$B:$B, C16)) + (IF(VLOOKUP("MF "&amp;RIGHT(B16, 2), MF!$A:$D, 4, 0)="хлыст", F16 * ROUNDUP((D16/1000) / VLOOKUP("MF "&amp;RIGHT(B16, 2), MF!$A:$E, 5, 0), 0), (D16*F16/1000)) * SUMIFS(MF!$C:$C, MF!$A:$A, "MF "&amp;RIGHT(B16, 2), MF!$B:$B, C16)), IF(VLOOKUP(B16, MF!$A:$D, 4, 0)="хлыст", F16 * ROUNDUP((R16/F16) / VLOOKUP(B16, MF!$A:$E, 5, 0), 0), R16) * SUMIFS(MF!$C:$C, MF!$A:$A, B16, MF!$B:$B, C16))))), 0)</f>
        <v>0</v>
      </c>
      <c r="X16" s="329">
        <f>IFERROR(IF(O16&lt;&gt;"ОК", 0, F16 * IF(AND(ISNUMBER(SEARCH("MZ", B16)), ISNUMBER(SEARCH("04", B16)), ISNUMBER(SEARCH("902", G16))), SUMIF(MZ!$A:$A, "Сборка*902*", MZ!$C:$C), IF(ISNUMBER(SEARCH("MF", B16)), IF(ISNUMBER(SEARCH("MF 2", B16)), IF(ISNUMBER(SEARCH("/", B16)), SUMIF(MF!$A:$A, "Сборка фасада MF20/2*", MF!$C:$C), SUMIF(MF!$A:$A, "Сборка фасада MF20", MF!$C:$C)), IF(OR(ISNUMBER(SEARCH("MF 5", B16)), ISNUMBER(SEARCH("MF 7", B16))), SUMIF(MF!$A:$A, "Сборка фасада MF50, MF70*", MF!$C:$C), IF(ISNUMBER(SEARCH("MF 6", B16)), SUMIF(MF!$A:$A, "Сборка фасада MF30, MF60*", MF!$C:$C), IF(ISNUMBER(SEARCH("/", B16)), SUMIF(MF!$A:$A, "Сборка фасада MF30/3*", MF!$C:$C), SUMIF(MF!$A:$A, "Сборка фасада MF30, MF60*", MF!$C:$C))))), SUMIF(MZ!$A:$A, "Сборка+уголки+фрез.под петли*", MZ!$C:$C)))), 0)</f>
        <v>0</v>
      </c>
      <c r="Y16" s="330">
        <f>IF(AND(O16="ОК", N16&gt;0), N16 * SUMIFS(СТЕКЛО!$C:$C, СТЕКЛО!$A:$A, "Втулки для отверстий в стекле"), 0)</f>
        <v>0</v>
      </c>
      <c r="Z16" s="331">
        <f>IF(O16="ОК", S16 * IFERROR(VLOOKUP(I16, СТЕКЛО!$A:$C, 3, 0), 0), 0)</f>
        <v>0</v>
      </c>
      <c r="AA16" s="332">
        <f>IF(O16="ОК", AF16 * SUMIFS(СТЕКЛО!$C:$C, СТЕКЛО!$A:$A, "Подгонка под Z-12, Z-17, Z-19, Z-20"), 0)</f>
        <v>0</v>
      </c>
      <c r="AB16" s="332">
        <f>IF(OR(O16&lt;&gt;"ОК", K16="", K16="без закалки", ISNUMBER(SEARCH("без", K16))), 0,
 (
   (MAX(0.3 * F16, S16) * IF(SUMIFS(СТЕКЛО!$C:$C, СТЕКЛО!$A:$A, "*Закалк*", СТЕКЛО!$B:$B, "4*")&gt;0,
                              SUMIFS(СТЕКЛО!$C:$C, СТЕКЛО!$A:$A, "*Закалк*", СТЕКЛО!$B:$B, "4*"),
                              SUMIF(СТЕКЛО!$A:$A, "*Закалк*", СТЕКЛО!$C:$C)))
   +
   (R16 * IF(SUMIFS(СТЕКЛО!$C:$C, СТЕКЛО!$A:$A, "*Шлифовк*", СТЕКЛО!$B:$B, "4*")&gt;0,
              SUMIFS(СТЕКЛО!$C:$C, СТЕКЛО!$A:$A, "*Шлифовк*", СТЕКЛО!$B:$B, "4*"),
              SUMIF(СТЕКЛО!$A:$A, "*Шлифовк*", СТЕКЛО!$C:$C)))
 )
 * (1 + IF(AND(MIN(D16, E16)&gt;=30, MIN(D16, E16)&lt;=100), 1, 0) + IF(MAX(D16, E16)&gt;=2500, 1, 0))
)</f>
        <v>0</v>
      </c>
      <c r="AC16" s="333">
        <f>IF(OR(O16&lt;&gt;"ОК", G16="", G16="без присадки", G16="без петель", G16="только присадка"), 0, IF(ISNUMBER(SEARCH("MF", B16)), IF(SUMIF(MF!$A:$A, G16, MF!$C:$C)&gt;0, SUMIF(MF!$A:$A, G16, MF!$C:$C), SUMIF(MZ!$A:$A, G16, MZ!$C:$C)), IF(SUMIF(MZ!$A:$A, G16, MZ!$C:$C)&gt;0, SUMIF(MZ!$A:$A, G16, MZ!$C:$C), SUMIF(MF!$A:$A, G16, MF!$C:$C))) * F16 * IF(OR(ISNUMBER(SEARCH("Salice AIR", G16)), ISNUMBER(SEARCH("(2шт)", G16))), H16, H16))</f>
        <v>0</v>
      </c>
      <c r="AD16" s="333">
        <f>IF(AND(O16="ОК", L16&gt;0, M16&lt;&gt;""), L16 * SUMIFS(СТЕКЛО!$C:$C, СТЕКЛО!$A:$A, "Сверление отверстий", СТЕКЛО!$B:$B, M16), 0)</f>
        <v>0</v>
      </c>
      <c r="AE16" s="333">
        <f>IF(AND(O16="ОК", J16&lt;&gt;"", J16&lt;&gt;"без оклейки"), S16 * IFERROR(VLOOKUP(J16, СТЕКЛО!$A:$C, 3, 0), 0), 0)</f>
        <v>0</v>
      </c>
      <c r="AF16" s="334">
        <f>IF(AND(ISNUMBER(MATCH(B16, {"MZ 12","MZ 17","MZ 19","MZ 20","MZ 20/21","MZ 20/22","MZ 20/25"}, 0)), I16&lt;&gt;"", I16&lt;&gt;"без наполнения"), R16, 0)</f>
        <v>0</v>
      </c>
      <c r="AG16" s="335" t="b">
        <f>IF((COUNTIFS(MZ!$A:$A, B16, MZ!$B:$B, C16) + COUNTIFS(MF!$A:$A, B16, MF!$B:$B, C16))&gt;0, TRUE, FALSE)</f>
        <v>0</v>
      </c>
      <c r="AH16" s="335" t="str">
        <f>IFERROR(VLOOKUP(B16, Данные!$B:$C, 2, 0), "")</f>
        <v/>
      </c>
      <c r="AI16" s="335" t="str">
        <f>IFERROR(VLOOKUP(G16, Данные!$B:$C, 2, 0), "")</f>
        <v/>
      </c>
      <c r="AJ16" s="340" t="b">
        <f>IF(G16="без присадки", IF(IFERROR(VLOOKUP(B16, Данные!$B:$D, 3, 0), "")="можно без присадки", TRUE, FALSE), IF(OR(AH16=AI16, AI16="любой", G16="только присадка", G16=""), TRUE, FALSE))</f>
        <v>1</v>
      </c>
      <c r="AK16" s="365"/>
      <c r="AL16" s="343">
        <f t="shared" si="1"/>
        <v>0</v>
      </c>
    </row>
    <row r="17" spans="1:38" ht="30" customHeight="1" thickBot="1">
      <c r="A17" s="588" t="s">
        <v>400</v>
      </c>
      <c r="B17" s="589"/>
      <c r="C17" s="589"/>
      <c r="D17" s="589"/>
      <c r="E17" s="589"/>
      <c r="F17" s="589"/>
      <c r="G17" s="589"/>
      <c r="H17" s="589"/>
      <c r="I17" s="589"/>
      <c r="J17" s="589"/>
      <c r="K17" s="589"/>
      <c r="L17" s="589"/>
      <c r="M17" s="589"/>
      <c r="N17" s="589"/>
      <c r="O17" s="590"/>
      <c r="P17" s="427">
        <f>SUM(P5:P16)</f>
        <v>0</v>
      </c>
      <c r="Q17" s="345">
        <f>SUM(Q5:Q16)</f>
        <v>0</v>
      </c>
      <c r="R17" s="336"/>
      <c r="S17" s="336"/>
      <c r="T17" s="336"/>
      <c r="U17" s="336"/>
      <c r="V17" s="336"/>
      <c r="W17" s="336"/>
      <c r="X17" s="336"/>
      <c r="Y17" s="336"/>
      <c r="Z17" s="336"/>
      <c r="AA17" s="336"/>
      <c r="AB17" s="336"/>
      <c r="AC17" s="336"/>
      <c r="AD17" s="336"/>
      <c r="AE17" s="336"/>
      <c r="AF17" s="339"/>
      <c r="AG17" s="336"/>
      <c r="AH17" s="336"/>
      <c r="AI17" s="336"/>
      <c r="AJ17" s="336"/>
      <c r="AK17" s="336"/>
      <c r="AL17" s="336"/>
    </row>
    <row r="19" spans="1:38" ht="26.25" customHeight="1">
      <c r="B19" s="600" t="s">
        <v>443</v>
      </c>
      <c r="C19" s="600"/>
      <c r="D19" s="600"/>
      <c r="E19" s="600"/>
      <c r="F19" s="600"/>
      <c r="G19" s="600"/>
      <c r="H19" s="600"/>
      <c r="I19" s="600"/>
      <c r="J19" s="600"/>
      <c r="K19" s="600"/>
      <c r="L19" s="600"/>
      <c r="M19" s="600"/>
      <c r="N19" s="600"/>
      <c r="O19" s="600"/>
      <c r="P19" s="600"/>
      <c r="Q19" s="600"/>
      <c r="AE19" s="350"/>
      <c r="AG19" s="350"/>
      <c r="AH19" s="350"/>
      <c r="AI19" s="350"/>
      <c r="AJ19" s="350"/>
    </row>
    <row r="20" spans="1:38" ht="21" customHeight="1">
      <c r="B20" s="506" t="s">
        <v>444</v>
      </c>
      <c r="C20" s="506"/>
      <c r="D20" s="506"/>
      <c r="E20" s="506"/>
      <c r="F20" s="506"/>
      <c r="G20" s="506"/>
      <c r="H20" s="506"/>
      <c r="I20" s="506"/>
      <c r="J20" s="506"/>
      <c r="K20" s="506"/>
      <c r="L20" s="506"/>
      <c r="M20" s="506"/>
      <c r="N20" s="506"/>
      <c r="O20" s="506"/>
      <c r="P20" s="506"/>
      <c r="Q20" s="506"/>
      <c r="AE20" s="350"/>
      <c r="AG20" s="350"/>
      <c r="AH20" s="350"/>
      <c r="AI20" s="350"/>
      <c r="AJ20" s="350"/>
    </row>
    <row r="21" spans="1:38" ht="18.75" customHeight="1">
      <c r="B21" s="506" t="s">
        <v>445</v>
      </c>
      <c r="C21" s="506"/>
      <c r="D21" s="506"/>
      <c r="E21" s="506"/>
      <c r="F21" s="506"/>
      <c r="G21" s="506"/>
      <c r="H21" s="506"/>
      <c r="I21" s="506"/>
      <c r="J21" s="506"/>
      <c r="K21" s="506"/>
      <c r="L21" s="506"/>
      <c r="M21" s="506"/>
      <c r="N21" s="506"/>
      <c r="O21" s="506"/>
      <c r="P21" s="506"/>
      <c r="Q21" s="506"/>
      <c r="W21" s="431"/>
      <c r="X21" s="431"/>
      <c r="Y21" s="431"/>
      <c r="Z21" s="431"/>
      <c r="AA21" s="431"/>
      <c r="AB21" s="431"/>
      <c r="AC21" s="431"/>
      <c r="AD21" s="431"/>
      <c r="AE21" s="431"/>
      <c r="AF21" s="431"/>
      <c r="AG21" s="350"/>
      <c r="AH21" s="350"/>
      <c r="AI21" s="350"/>
      <c r="AJ21" s="350"/>
    </row>
    <row r="22" spans="1:38" ht="18" customHeight="1">
      <c r="B22" s="506" t="s">
        <v>446</v>
      </c>
      <c r="C22" s="506"/>
      <c r="D22" s="506"/>
      <c r="E22" s="506"/>
      <c r="F22" s="506"/>
      <c r="G22" s="506"/>
      <c r="H22" s="506"/>
      <c r="I22" s="506"/>
      <c r="J22" s="506"/>
      <c r="K22" s="506"/>
      <c r="L22" s="506"/>
      <c r="M22" s="506"/>
      <c r="N22" s="506"/>
      <c r="O22" s="506"/>
      <c r="P22" s="506"/>
      <c r="Q22" s="506"/>
      <c r="AH22" s="350"/>
      <c r="AI22" s="350"/>
      <c r="AJ22" s="350"/>
    </row>
    <row r="23" spans="1:38" ht="18" customHeight="1">
      <c r="B23" s="617" t="s">
        <v>447</v>
      </c>
      <c r="C23" s="506"/>
      <c r="D23" s="506"/>
      <c r="E23" s="506"/>
      <c r="F23" s="506"/>
      <c r="G23" s="506"/>
      <c r="H23" s="506"/>
      <c r="I23" s="506"/>
      <c r="J23" s="506"/>
      <c r="K23" s="506"/>
      <c r="L23" s="506"/>
      <c r="M23" s="506"/>
      <c r="N23" s="506"/>
      <c r="O23" s="506"/>
      <c r="P23" s="506"/>
      <c r="Q23" s="506"/>
      <c r="AE23" s="350"/>
      <c r="AG23" s="350"/>
      <c r="AH23" s="350"/>
      <c r="AI23" s="350"/>
      <c r="AJ23" s="350"/>
    </row>
    <row r="24" spans="1:38" ht="19.5" customHeight="1">
      <c r="B24" s="617" t="s">
        <v>448</v>
      </c>
      <c r="C24" s="506"/>
      <c r="D24" s="506"/>
      <c r="E24" s="506"/>
      <c r="F24" s="506"/>
      <c r="G24" s="506"/>
      <c r="H24" s="506"/>
      <c r="I24" s="506"/>
      <c r="J24" s="506"/>
      <c r="K24" s="506"/>
      <c r="L24" s="506"/>
      <c r="M24" s="506"/>
      <c r="N24" s="506"/>
      <c r="O24" s="506"/>
      <c r="P24" s="506"/>
      <c r="Q24" s="506"/>
      <c r="R24" s="353"/>
      <c r="S24" s="353"/>
      <c r="T24" s="353"/>
      <c r="U24" s="353"/>
      <c r="V24" s="353"/>
      <c r="W24" s="353"/>
      <c r="X24" s="353"/>
      <c r="Y24" s="353"/>
      <c r="Z24" s="353"/>
      <c r="AA24" s="353"/>
      <c r="AB24" s="353"/>
      <c r="AC24" s="353"/>
      <c r="AD24" s="353"/>
      <c r="AE24" s="353"/>
      <c r="AF24" s="353"/>
      <c r="AG24" s="353"/>
      <c r="AH24" s="353"/>
      <c r="AI24" s="353"/>
      <c r="AJ24" s="353"/>
      <c r="AK24" s="353"/>
      <c r="AL24" s="353"/>
    </row>
    <row r="25" spans="1:38" ht="18.75" customHeight="1">
      <c r="B25" s="79"/>
      <c r="C25" s="351"/>
      <c r="D25" s="352"/>
      <c r="H25" s="301"/>
      <c r="J25" s="346"/>
      <c r="K25" s="346"/>
      <c r="L25" s="346"/>
      <c r="M25" s="347"/>
      <c r="N25" s="347"/>
      <c r="O25" s="348"/>
      <c r="P25" s="171"/>
      <c r="Q25" s="349"/>
      <c r="AE25" s="350"/>
      <c r="AG25" s="350"/>
      <c r="AH25" s="350"/>
      <c r="AI25" s="350"/>
      <c r="AJ25" s="350"/>
    </row>
    <row r="26" spans="1:38" ht="18.75" customHeight="1">
      <c r="B26" s="601" t="s">
        <v>187</v>
      </c>
      <c r="C26" s="601"/>
      <c r="D26" s="601"/>
      <c r="E26" s="601"/>
      <c r="F26" s="601"/>
      <c r="G26" s="601"/>
      <c r="H26" s="301"/>
      <c r="I26" s="353"/>
      <c r="J26" s="346"/>
      <c r="K26" s="346"/>
      <c r="L26" s="346"/>
      <c r="M26" s="347"/>
      <c r="N26" s="347"/>
      <c r="O26" s="348"/>
      <c r="P26" s="171"/>
      <c r="Q26" s="349"/>
      <c r="R26" s="438"/>
      <c r="S26" s="438"/>
      <c r="T26" s="438"/>
      <c r="U26" s="438"/>
      <c r="V26" s="438"/>
      <c r="W26" s="438"/>
      <c r="X26" s="438"/>
      <c r="Y26" s="438"/>
      <c r="Z26" s="438"/>
      <c r="AA26" s="438"/>
      <c r="AB26" s="438"/>
      <c r="AC26" s="438"/>
      <c r="AD26" s="438"/>
      <c r="AE26" s="438"/>
      <c r="AF26" s="438"/>
      <c r="AG26" s="438"/>
      <c r="AH26" s="438"/>
      <c r="AI26" s="438"/>
      <c r="AJ26" s="438"/>
      <c r="AK26" s="438"/>
    </row>
    <row r="27" spans="1:38" ht="18.75" customHeight="1">
      <c r="B27" s="601"/>
      <c r="C27" s="601"/>
      <c r="D27" s="601"/>
      <c r="E27" s="601"/>
      <c r="F27" s="601"/>
      <c r="G27" s="601"/>
      <c r="H27" s="301"/>
      <c r="I27" s="471" t="s">
        <v>275</v>
      </c>
      <c r="J27" s="346"/>
      <c r="K27" s="346"/>
      <c r="L27" s="346"/>
      <c r="M27" s="503"/>
      <c r="N27" s="503"/>
      <c r="O27" s="348"/>
      <c r="P27" s="171"/>
      <c r="Q27" s="349"/>
      <c r="R27" s="473"/>
      <c r="S27" s="473"/>
      <c r="T27" s="473"/>
      <c r="U27" s="473"/>
      <c r="V27" s="473"/>
      <c r="W27" s="473"/>
      <c r="X27" s="473"/>
      <c r="Y27" s="473"/>
      <c r="Z27" s="473"/>
      <c r="AA27" s="473"/>
      <c r="AB27" s="473"/>
      <c r="AC27" s="473"/>
      <c r="AD27" s="473"/>
      <c r="AE27" s="473"/>
      <c r="AF27" s="473"/>
      <c r="AG27" s="473"/>
      <c r="AH27" s="473"/>
      <c r="AI27" s="473"/>
      <c r="AJ27" s="473"/>
      <c r="AK27" s="473"/>
    </row>
    <row r="28" spans="1:38" ht="18.75" customHeight="1">
      <c r="B28" s="601" t="s">
        <v>188</v>
      </c>
      <c r="C28" s="601"/>
      <c r="D28" s="601"/>
      <c r="E28" s="601"/>
      <c r="F28" s="601"/>
      <c r="G28" s="601"/>
      <c r="H28" s="301"/>
      <c r="I28" s="353" t="s">
        <v>387</v>
      </c>
      <c r="J28" s="353"/>
      <c r="K28" s="353"/>
      <c r="L28" s="353"/>
      <c r="M28" s="353"/>
      <c r="N28" s="353"/>
      <c r="O28" s="353"/>
      <c r="P28" s="353"/>
      <c r="Q28" s="353"/>
      <c r="R28" s="473"/>
      <c r="S28" s="473"/>
      <c r="T28" s="473"/>
      <c r="U28" s="473"/>
      <c r="V28" s="473"/>
      <c r="W28" s="473"/>
      <c r="X28" s="473"/>
      <c r="Y28" s="473"/>
      <c r="Z28" s="473"/>
      <c r="AA28" s="473"/>
      <c r="AB28" s="473"/>
      <c r="AC28" s="473"/>
      <c r="AD28" s="473"/>
      <c r="AE28" s="473"/>
      <c r="AF28" s="473"/>
      <c r="AG28" s="473"/>
      <c r="AH28" s="473"/>
      <c r="AI28" s="473"/>
      <c r="AJ28" s="473"/>
      <c r="AK28" s="473"/>
    </row>
    <row r="29" spans="1:38" ht="18.75">
      <c r="H29" s="301"/>
      <c r="I29" s="353"/>
      <c r="J29" s="346"/>
      <c r="K29" s="346"/>
      <c r="L29" s="346"/>
      <c r="M29" s="503"/>
      <c r="N29" s="503"/>
      <c r="O29" s="348"/>
      <c r="P29" s="171"/>
      <c r="Q29" s="349"/>
    </row>
    <row r="30" spans="1:38" ht="14.25" customHeight="1">
      <c r="B30" s="77" t="s">
        <v>449</v>
      </c>
      <c r="C30" s="351"/>
      <c r="D30" s="352"/>
      <c r="H30" s="301"/>
      <c r="I30" s="504" t="s">
        <v>388</v>
      </c>
      <c r="J30" s="505" t="s">
        <v>274</v>
      </c>
      <c r="K30" s="505"/>
      <c r="L30" s="505"/>
      <c r="M30" s="505"/>
      <c r="N30" s="505"/>
      <c r="O30" s="505"/>
      <c r="P30" s="505"/>
      <c r="Q30" s="505"/>
      <c r="R30" s="505"/>
      <c r="S30" s="505"/>
      <c r="T30" s="505"/>
      <c r="U30" s="505"/>
      <c r="V30" s="505"/>
      <c r="W30" s="505"/>
      <c r="X30" s="505"/>
      <c r="Y30" s="505"/>
      <c r="Z30" s="505"/>
      <c r="AA30" s="505"/>
      <c r="AB30" s="505"/>
      <c r="AC30" s="505"/>
      <c r="AD30" s="505"/>
      <c r="AE30" s="505"/>
      <c r="AF30" s="505"/>
      <c r="AG30" s="505"/>
      <c r="AH30" s="505"/>
      <c r="AI30" s="505"/>
      <c r="AJ30" s="505"/>
      <c r="AK30" s="505"/>
    </row>
    <row r="31" spans="1:38" ht="15" customHeight="1">
      <c r="B31" s="77" t="s">
        <v>90</v>
      </c>
      <c r="C31" s="351"/>
      <c r="D31" s="352"/>
      <c r="H31" s="301"/>
      <c r="I31" s="504"/>
      <c r="J31" s="505"/>
      <c r="K31" s="505"/>
      <c r="L31" s="505"/>
      <c r="M31" s="505"/>
      <c r="N31" s="505"/>
      <c r="O31" s="505"/>
      <c r="P31" s="505"/>
      <c r="Q31" s="505"/>
      <c r="R31" s="505"/>
      <c r="S31" s="505"/>
      <c r="T31" s="505"/>
      <c r="U31" s="505"/>
      <c r="V31" s="505"/>
      <c r="W31" s="505"/>
      <c r="X31" s="505"/>
      <c r="Y31" s="505"/>
      <c r="Z31" s="505"/>
      <c r="AA31" s="505"/>
      <c r="AB31" s="505"/>
      <c r="AC31" s="505"/>
      <c r="AD31" s="505"/>
      <c r="AE31" s="505"/>
      <c r="AF31" s="505"/>
      <c r="AG31" s="505"/>
      <c r="AH31" s="505"/>
      <c r="AI31" s="505"/>
      <c r="AJ31" s="505"/>
      <c r="AK31" s="505"/>
    </row>
    <row r="32" spans="1:38" ht="15" customHeight="1">
      <c r="H32" s="301"/>
      <c r="I32" s="353"/>
      <c r="J32" s="346"/>
      <c r="K32" s="346"/>
      <c r="L32" s="346"/>
      <c r="M32" s="503"/>
      <c r="N32" s="503"/>
      <c r="O32" s="348"/>
      <c r="P32" s="171"/>
      <c r="Q32" s="349"/>
    </row>
    <row r="33" spans="2:17" ht="15" customHeight="1">
      <c r="I33" s="353"/>
      <c r="J33" s="346"/>
      <c r="K33" s="346"/>
      <c r="L33" s="346"/>
      <c r="M33" s="347"/>
      <c r="N33" s="347"/>
      <c r="O33" s="348"/>
      <c r="P33" s="171"/>
      <c r="Q33" s="349"/>
    </row>
    <row r="34" spans="2:17" ht="18.95" customHeight="1">
      <c r="B34" s="79"/>
      <c r="C34" s="354"/>
      <c r="D34" s="80"/>
    </row>
    <row r="35" spans="2:17">
      <c r="B35" s="79"/>
      <c r="C35" s="354"/>
      <c r="D35" s="80"/>
    </row>
    <row r="38" spans="2:17" ht="18.75">
      <c r="B38" s="472"/>
      <c r="M38" s="586"/>
      <c r="N38" s="586"/>
      <c r="O38" s="172"/>
      <c r="P38" s="173"/>
      <c r="Q38" s="174"/>
    </row>
    <row r="39" spans="2:17" ht="18.75">
      <c r="M39" s="586"/>
      <c r="N39" s="586"/>
    </row>
    <row r="40" spans="2:17" ht="18.75">
      <c r="M40" s="586"/>
      <c r="N40" s="586"/>
    </row>
    <row r="41" spans="2:17" ht="18.75">
      <c r="M41" s="586"/>
      <c r="N41" s="586"/>
    </row>
    <row r="42" spans="2:17" ht="18.75">
      <c r="M42" s="586"/>
      <c r="N42" s="586"/>
    </row>
    <row r="43" spans="2:17" ht="18.75">
      <c r="M43" s="586"/>
      <c r="N43" s="586"/>
    </row>
    <row r="44" spans="2:17" ht="18.75">
      <c r="M44" s="586"/>
      <c r="N44" s="586"/>
    </row>
    <row r="45" spans="2:17" ht="18.75">
      <c r="M45" s="586"/>
      <c r="N45" s="586"/>
    </row>
  </sheetData>
  <sheetProtection algorithmName="SHA-512" hashValue="xW6Nb/ORJsSJEV14zLFMqy1Jg6iekpYs5wwgtNfD7Jqb/x28oi4rkigIqYz0/uCZrXTEbDYY3bDyXDGA23HWZg==" saltValue="zvKfCw6/PXo5jxmWXDJmxA==" spinCount="100000" sheet="1" objects="1" scenarios="1"/>
  <dataConsolidate/>
  <mergeCells count="65">
    <mergeCell ref="J30:AK31"/>
    <mergeCell ref="B26:G27"/>
    <mergeCell ref="B23:Q23"/>
    <mergeCell ref="B24:Q24"/>
    <mergeCell ref="B21:Q21"/>
    <mergeCell ref="B22:Q22"/>
    <mergeCell ref="B19:Q19"/>
    <mergeCell ref="B20:Q20"/>
    <mergeCell ref="AG2:AG4"/>
    <mergeCell ref="AH2:AH4"/>
    <mergeCell ref="B28:G28"/>
    <mergeCell ref="AA2:AA4"/>
    <mergeCell ref="AE2:AE4"/>
    <mergeCell ref="P2:P4"/>
    <mergeCell ref="W2:W4"/>
    <mergeCell ref="I2:N2"/>
    <mergeCell ref="G2:H2"/>
    <mergeCell ref="T2:T4"/>
    <mergeCell ref="U2:U4"/>
    <mergeCell ref="V2:V4"/>
    <mergeCell ref="L1:M1"/>
    <mergeCell ref="M29:N29"/>
    <mergeCell ref="H3:H4"/>
    <mergeCell ref="I30:I31"/>
    <mergeCell ref="M32:N32"/>
    <mergeCell ref="M27:N27"/>
    <mergeCell ref="A17:O17"/>
    <mergeCell ref="A2:A4"/>
    <mergeCell ref="I3:I4"/>
    <mergeCell ref="F3:F4"/>
    <mergeCell ref="C3:C4"/>
    <mergeCell ref="B3:B4"/>
    <mergeCell ref="E3:E4"/>
    <mergeCell ref="D3:D4"/>
    <mergeCell ref="B2:F2"/>
    <mergeCell ref="G3:G4"/>
    <mergeCell ref="M43:N43"/>
    <mergeCell ref="M44:N44"/>
    <mergeCell ref="M45:N45"/>
    <mergeCell ref="M38:N38"/>
    <mergeCell ref="M39:N39"/>
    <mergeCell ref="M40:N40"/>
    <mergeCell ref="M41:N41"/>
    <mergeCell ref="M42:N42"/>
    <mergeCell ref="A1:B1"/>
    <mergeCell ref="D1:E1"/>
    <mergeCell ref="F1:G1"/>
    <mergeCell ref="H1:I1"/>
    <mergeCell ref="J1:K1"/>
    <mergeCell ref="AL2:AL4"/>
    <mergeCell ref="J3:N3"/>
    <mergeCell ref="X2:X4"/>
    <mergeCell ref="AK2:AK4"/>
    <mergeCell ref="AB2:AB4"/>
    <mergeCell ref="AF2:AF4"/>
    <mergeCell ref="Q2:Q4"/>
    <mergeCell ref="AC2:AC4"/>
    <mergeCell ref="S2:S4"/>
    <mergeCell ref="Z2:Z4"/>
    <mergeCell ref="R2:R4"/>
    <mergeCell ref="AD2:AD4"/>
    <mergeCell ref="Y2:Y4"/>
    <mergeCell ref="AI2:AI4"/>
    <mergeCell ref="AJ2:AJ4"/>
    <mergeCell ref="O2:O4"/>
  </mergeCells>
  <phoneticPr fontId="37" type="noConversion"/>
  <conditionalFormatting sqref="J7">
    <cfRule type="duplicateValues" dxfId="4" priority="2"/>
  </conditionalFormatting>
  <conditionalFormatting sqref="J11">
    <cfRule type="duplicateValues" dxfId="3" priority="1"/>
  </conditionalFormatting>
  <conditionalFormatting sqref="O5:O16">
    <cfRule type="cellIs" dxfId="2" priority="111" operator="equal">
      <formula>"ОК"</formula>
    </cfRule>
  </conditionalFormatting>
  <hyperlinks>
    <hyperlink ref="J30" r:id="rId1" xr:uid="{00000000-0004-0000-0200-000000000000}"/>
  </hyperlinks>
  <pageMargins left="0.23622047244094491" right="0.23622047244094491" top="0.74803149606299213" bottom="0.74803149606299213" header="0.31496062992125984" footer="0.31496062992125984"/>
  <pageSetup paperSize="9" scale="39" fitToHeight="0" orientation="landscape" r:id="rId2"/>
  <extLst>
    <ext xmlns:x14="http://schemas.microsoft.com/office/spreadsheetml/2009/9/main" uri="{78C0D931-6437-407d-A8EE-F0AAD7539E65}">
      <x14:conditionalFormattings>
        <x14:conditionalFormatting xmlns:xm="http://schemas.microsoft.com/office/excel/2006/main">
          <x14:cfRule type="notContainsText" priority="113" operator="notContains" id="{25F7805E-B4E4-4134-9879-C52D25022C5F}">
            <xm:f>ISERROR(SEARCH(Данные!$B$118,O5))</xm:f>
            <xm:f>Данные!$B$118</xm:f>
            <x14:dxf>
              <fill>
                <patternFill>
                  <bgColor rgb="FFFF0000"/>
                </patternFill>
              </fill>
            </x14:dxf>
          </x14:cfRule>
          <x14:cfRule type="cellIs" priority="114" operator="equal" id="{6F9D5138-8FE8-43E9-BB46-A1C1737609AB}">
            <xm:f>Данные!$B$118</xm:f>
            <x14:dxf>
              <fill>
                <patternFill patternType="none">
                  <bgColor auto="1"/>
                </patternFill>
              </fill>
            </x14:dxf>
          </x14:cfRule>
          <xm:sqref>O5:O16</xm:sqref>
        </x14:conditionalFormatting>
      </x14:conditionalFormattings>
    </ext>
    <ext xmlns:x14="http://schemas.microsoft.com/office/spreadsheetml/2009/9/main" uri="{CCE6A557-97BC-4b89-ADB6-D9C93CAAB3DF}">
      <x14:dataValidations xmlns:xm="http://schemas.microsoft.com/office/excel/2006/main" count="8">
        <x14:dataValidation type="list" allowBlank="1" showInputMessage="1" showErrorMessage="1" xr:uid="{00000000-0002-0000-0200-000000000000}">
          <x14:formula1>
            <xm:f>Данные!$B$116:$B$117</xm:f>
          </x14:formula1>
          <xm:sqref>M5:M16</xm:sqref>
        </x14:dataValidation>
        <x14:dataValidation type="list" allowBlank="1" showInputMessage="1" showErrorMessage="1" xr:uid="{00000000-0002-0000-0200-000001000000}">
          <x14:formula1>
            <xm:f>Данные!$B$129:$B$130</xm:f>
          </x14:formula1>
          <xm:sqref>K5:K16</xm:sqref>
        </x14:dataValidation>
        <x14:dataValidation type="list" allowBlank="1" showInputMessage="1" showErrorMessage="1" xr:uid="{00000000-0002-0000-0200-000002000000}">
          <x14:formula1>
            <xm:f>Данные!$B$114:$B$115</xm:f>
          </x14:formula1>
          <xm:sqref>J5:J16</xm:sqref>
        </x14:dataValidation>
        <x14:dataValidation type="list" allowBlank="1" showInputMessage="1" showErrorMessage="1" xr:uid="{00000000-0002-0000-0200-000003000000}">
          <x14:formula1>
            <xm:f>Данные!$B$24:$B$36</xm:f>
          </x14:formula1>
          <xm:sqref>C5:C16</xm:sqref>
        </x14:dataValidation>
        <x14:dataValidation type="list" allowBlank="1" showInputMessage="1" showErrorMessage="1" xr:uid="{00000000-0002-0000-0200-000004000000}">
          <x14:formula1>
            <xm:f>Данные!$B$134:$B$135</xm:f>
          </x14:formula1>
          <xm:sqref>N1</xm:sqref>
        </x14:dataValidation>
        <x14:dataValidation type="list" allowBlank="1" showInputMessage="1" showErrorMessage="1" xr:uid="{00000000-0002-0000-0200-000005000000}">
          <x14:formula1>
            <xm:f>Данные!$B$1:$B$23</xm:f>
          </x14:formula1>
          <xm:sqref>B5:B16</xm:sqref>
        </x14:dataValidation>
        <x14:dataValidation type="list" allowBlank="1" showInputMessage="1" showErrorMessage="1" xr:uid="{00000000-0002-0000-0200-000006000000}">
          <x14:formula1>
            <xm:f>Данные!$B$72:$B$111</xm:f>
          </x14:formula1>
          <xm:sqref>I5:I16</xm:sqref>
        </x14:dataValidation>
        <x14:dataValidation type="list" allowBlank="1" showInputMessage="1" showErrorMessage="1" xr:uid="{00000000-0002-0000-0200-000007000000}">
          <x14:formula1>
            <xm:f>Данные!$B$37:$B$71</xm:f>
          </x14:formula1>
          <xm:sqref>G5:G16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10">
    <tabColor rgb="FFFF0000"/>
  </sheetPr>
  <dimension ref="A1:BJ119"/>
  <sheetViews>
    <sheetView zoomScale="81" zoomScaleNormal="81" workbookViewId="0">
      <selection activeCell="G22" sqref="G22"/>
    </sheetView>
  </sheetViews>
  <sheetFormatPr defaultColWidth="8.85546875" defaultRowHeight="15"/>
  <cols>
    <col min="1" max="1" width="9.42578125" customWidth="1"/>
    <col min="2" max="2" width="6.7109375" customWidth="1"/>
    <col min="3" max="3" width="2.28515625" customWidth="1"/>
    <col min="5" max="5" width="3.28515625" customWidth="1"/>
    <col min="6" max="6" width="5.42578125" customWidth="1"/>
    <col min="7" max="7" width="2.140625" customWidth="1"/>
    <col min="8" max="8" width="2.28515625" customWidth="1"/>
    <col min="9" max="9" width="7" customWidth="1"/>
    <col min="10" max="11" width="3.7109375" customWidth="1"/>
    <col min="12" max="12" width="7" customWidth="1"/>
    <col min="13" max="13" width="2.28515625" customWidth="1"/>
    <col min="14" max="14" width="2.140625" customWidth="1"/>
    <col min="15" max="15" width="5.42578125" customWidth="1"/>
    <col min="16" max="16" width="3.28515625" customWidth="1"/>
    <col min="18" max="18" width="2.28515625" customWidth="1"/>
    <col min="22" max="22" width="9.42578125" customWidth="1"/>
    <col min="23" max="23" width="6.7109375" customWidth="1"/>
    <col min="24" max="24" width="2.28515625" customWidth="1"/>
    <col min="26" max="26" width="3.28515625" customWidth="1"/>
    <col min="27" max="27" width="5.42578125" customWidth="1"/>
    <col min="28" max="28" width="2.140625" customWidth="1"/>
    <col min="29" max="29" width="2.28515625" customWidth="1"/>
    <col min="30" max="30" width="7" customWidth="1"/>
    <col min="31" max="32" width="3.7109375" customWidth="1"/>
    <col min="33" max="33" width="7" customWidth="1"/>
    <col min="34" max="34" width="2.28515625" customWidth="1"/>
    <col min="35" max="35" width="2.140625" customWidth="1"/>
    <col min="36" max="36" width="5.42578125" customWidth="1"/>
    <col min="37" max="37" width="3.28515625" customWidth="1"/>
    <col min="39" max="39" width="2.28515625" customWidth="1"/>
    <col min="43" max="43" width="9.42578125" customWidth="1"/>
    <col min="44" max="44" width="6.7109375" customWidth="1"/>
    <col min="45" max="45" width="2.28515625" customWidth="1"/>
    <col min="47" max="47" width="3.28515625" customWidth="1"/>
    <col min="48" max="48" width="5.42578125" customWidth="1"/>
    <col min="49" max="49" width="2.140625" customWidth="1"/>
    <col min="50" max="50" width="2.28515625" customWidth="1"/>
    <col min="51" max="51" width="7" customWidth="1"/>
    <col min="52" max="53" width="3.7109375" customWidth="1"/>
    <col min="54" max="54" width="7" customWidth="1"/>
    <col min="55" max="55" width="2.28515625" customWidth="1"/>
    <col min="56" max="56" width="2.140625" customWidth="1"/>
    <col min="57" max="57" width="5.42578125" customWidth="1"/>
    <col min="58" max="58" width="3.28515625" customWidth="1"/>
    <col min="60" max="60" width="2.28515625" customWidth="1"/>
  </cols>
  <sheetData>
    <row r="1" spans="1:62" ht="15" customHeight="1">
      <c r="A1" s="619" t="s">
        <v>132</v>
      </c>
      <c r="B1" s="619"/>
      <c r="C1" s="619"/>
      <c r="D1" s="619"/>
      <c r="E1" s="619"/>
      <c r="F1" s="619"/>
      <c r="G1" s="619"/>
      <c r="H1" s="619"/>
      <c r="I1" s="619"/>
      <c r="J1" s="619"/>
      <c r="K1" s="619"/>
      <c r="L1" s="619"/>
      <c r="M1" s="619"/>
      <c r="N1" s="619"/>
      <c r="O1" s="619"/>
      <c r="P1" s="619"/>
      <c r="Q1" s="619"/>
      <c r="R1" s="619"/>
      <c r="S1" s="619"/>
      <c r="T1" s="619"/>
      <c r="V1" s="619" t="s">
        <v>132</v>
      </c>
      <c r="W1" s="619"/>
      <c r="X1" s="619"/>
      <c r="Y1" s="619"/>
      <c r="Z1" s="619"/>
      <c r="AA1" s="619"/>
      <c r="AB1" s="619"/>
      <c r="AC1" s="619"/>
      <c r="AD1" s="619"/>
      <c r="AE1" s="619"/>
      <c r="AF1" s="619"/>
      <c r="AG1" s="619"/>
      <c r="AH1" s="619"/>
      <c r="AI1" s="619"/>
      <c r="AJ1" s="619"/>
      <c r="AK1" s="619"/>
      <c r="AL1" s="619"/>
      <c r="AM1" s="619"/>
      <c r="AN1" s="619"/>
      <c r="AO1" s="619"/>
      <c r="AQ1" s="619" t="s">
        <v>132</v>
      </c>
      <c r="AR1" s="619"/>
      <c r="AS1" s="619"/>
      <c r="AT1" s="619"/>
      <c r="AU1" s="619"/>
      <c r="AV1" s="619"/>
      <c r="AW1" s="619"/>
      <c r="AX1" s="619"/>
      <c r="AY1" s="619"/>
      <c r="AZ1" s="619"/>
      <c r="BA1" s="619"/>
      <c r="BB1" s="619"/>
      <c r="BC1" s="619"/>
      <c r="BD1" s="619"/>
      <c r="BE1" s="619"/>
      <c r="BF1" s="619"/>
      <c r="BG1" s="619"/>
      <c r="BH1" s="619"/>
      <c r="BI1" s="619"/>
      <c r="BJ1" s="619"/>
    </row>
    <row r="2" spans="1:62" ht="15" customHeight="1">
      <c r="A2" s="619"/>
      <c r="B2" s="619"/>
      <c r="C2" s="619"/>
      <c r="D2" s="619"/>
      <c r="E2" s="619"/>
      <c r="F2" s="619"/>
      <c r="G2" s="619"/>
      <c r="H2" s="619"/>
      <c r="I2" s="619"/>
      <c r="J2" s="619"/>
      <c r="K2" s="619"/>
      <c r="L2" s="619"/>
      <c r="M2" s="619"/>
      <c r="N2" s="619"/>
      <c r="O2" s="619"/>
      <c r="P2" s="619"/>
      <c r="Q2" s="619"/>
      <c r="R2" s="619"/>
      <c r="S2" s="619"/>
      <c r="T2" s="619"/>
      <c r="V2" s="619"/>
      <c r="W2" s="619"/>
      <c r="X2" s="619"/>
      <c r="Y2" s="619"/>
      <c r="Z2" s="619"/>
      <c r="AA2" s="619"/>
      <c r="AB2" s="619"/>
      <c r="AC2" s="619"/>
      <c r="AD2" s="619"/>
      <c r="AE2" s="619"/>
      <c r="AF2" s="619"/>
      <c r="AG2" s="619"/>
      <c r="AH2" s="619"/>
      <c r="AI2" s="619"/>
      <c r="AJ2" s="619"/>
      <c r="AK2" s="619"/>
      <c r="AL2" s="619"/>
      <c r="AM2" s="619"/>
      <c r="AN2" s="619"/>
      <c r="AO2" s="619"/>
      <c r="AQ2" s="619"/>
      <c r="AR2" s="619"/>
      <c r="AS2" s="619"/>
      <c r="AT2" s="619"/>
      <c r="AU2" s="619"/>
      <c r="AV2" s="619"/>
      <c r="AW2" s="619"/>
      <c r="AX2" s="619"/>
      <c r="AY2" s="619"/>
      <c r="AZ2" s="619"/>
      <c r="BA2" s="619"/>
      <c r="BB2" s="619"/>
      <c r="BC2" s="619"/>
      <c r="BD2" s="619"/>
      <c r="BE2" s="619"/>
      <c r="BF2" s="619"/>
      <c r="BG2" s="619"/>
      <c r="BH2" s="619"/>
      <c r="BI2" s="619"/>
      <c r="BJ2" s="619"/>
    </row>
    <row r="3" spans="1:62" ht="15" customHeight="1">
      <c r="A3" s="619"/>
      <c r="B3" s="619"/>
      <c r="C3" s="619"/>
      <c r="D3" s="619"/>
      <c r="E3" s="619"/>
      <c r="F3" s="619"/>
      <c r="G3" s="619"/>
      <c r="H3" s="619"/>
      <c r="I3" s="619"/>
      <c r="J3" s="619"/>
      <c r="K3" s="619"/>
      <c r="L3" s="619"/>
      <c r="M3" s="619"/>
      <c r="N3" s="619"/>
      <c r="O3" s="619"/>
      <c r="P3" s="619"/>
      <c r="Q3" s="619"/>
      <c r="R3" s="619"/>
      <c r="S3" s="619"/>
      <c r="T3" s="619"/>
      <c r="V3" s="619"/>
      <c r="W3" s="619"/>
      <c r="X3" s="619"/>
      <c r="Y3" s="619"/>
      <c r="Z3" s="619"/>
      <c r="AA3" s="619"/>
      <c r="AB3" s="619"/>
      <c r="AC3" s="619"/>
      <c r="AD3" s="619"/>
      <c r="AE3" s="619"/>
      <c r="AF3" s="619"/>
      <c r="AG3" s="619"/>
      <c r="AH3" s="619"/>
      <c r="AI3" s="619"/>
      <c r="AJ3" s="619"/>
      <c r="AK3" s="619"/>
      <c r="AL3" s="619"/>
      <c r="AM3" s="619"/>
      <c r="AN3" s="619"/>
      <c r="AO3" s="619"/>
      <c r="AQ3" s="619"/>
      <c r="AR3" s="619"/>
      <c r="AS3" s="619"/>
      <c r="AT3" s="619"/>
      <c r="AU3" s="619"/>
      <c r="AV3" s="619"/>
      <c r="AW3" s="619"/>
      <c r="AX3" s="619"/>
      <c r="AY3" s="619"/>
      <c r="AZ3" s="619"/>
      <c r="BA3" s="619"/>
      <c r="BB3" s="619"/>
      <c r="BC3" s="619"/>
      <c r="BD3" s="619"/>
      <c r="BE3" s="619"/>
      <c r="BF3" s="619"/>
      <c r="BG3" s="619"/>
      <c r="BH3" s="619"/>
      <c r="BI3" s="619"/>
      <c r="BJ3" s="619"/>
    </row>
    <row r="5" spans="1:62">
      <c r="C5" s="620"/>
      <c r="D5" s="621"/>
      <c r="E5" s="621"/>
      <c r="F5" s="621"/>
      <c r="G5" s="621"/>
      <c r="H5" s="622"/>
      <c r="M5" s="620"/>
      <c r="N5" s="621"/>
      <c r="O5" s="621"/>
      <c r="P5" s="621"/>
      <c r="Q5" s="621"/>
      <c r="R5" s="622"/>
      <c r="X5" s="620"/>
      <c r="Y5" s="621"/>
      <c r="Z5" s="621"/>
      <c r="AA5" s="621"/>
      <c r="AB5" s="621"/>
      <c r="AC5" s="622"/>
      <c r="AH5" s="620"/>
      <c r="AI5" s="621"/>
      <c r="AJ5" s="621"/>
      <c r="AK5" s="621"/>
      <c r="AL5" s="621"/>
      <c r="AM5" s="622"/>
      <c r="AS5" s="620"/>
      <c r="AT5" s="621"/>
      <c r="AU5" s="621"/>
      <c r="AV5" s="621"/>
      <c r="AW5" s="621"/>
      <c r="AX5" s="622"/>
      <c r="BC5" s="620"/>
      <c r="BD5" s="621"/>
      <c r="BE5" s="621"/>
      <c r="BF5" s="621"/>
      <c r="BG5" s="621"/>
      <c r="BH5" s="622"/>
    </row>
    <row r="6" spans="1:62" ht="15.75" thickBot="1">
      <c r="B6" s="45"/>
      <c r="C6" s="46"/>
      <c r="D6" s="47"/>
      <c r="E6" s="47"/>
      <c r="F6" s="47"/>
      <c r="G6" s="47"/>
      <c r="H6" s="48"/>
      <c r="J6" s="45"/>
      <c r="K6" s="45"/>
      <c r="L6" s="45"/>
      <c r="M6" s="43"/>
      <c r="R6" s="44"/>
      <c r="S6" s="45"/>
      <c r="W6" s="45"/>
      <c r="X6" s="46"/>
      <c r="Y6" s="47"/>
      <c r="Z6" s="47"/>
      <c r="AA6" s="47"/>
      <c r="AB6" s="47"/>
      <c r="AC6" s="48"/>
      <c r="AE6" s="45"/>
      <c r="AF6" s="45"/>
      <c r="AG6" s="45"/>
      <c r="AH6" s="43"/>
      <c r="AM6" s="44"/>
      <c r="AN6" s="45"/>
      <c r="AR6" s="45"/>
      <c r="AS6" s="46"/>
      <c r="AT6" s="47"/>
      <c r="AU6" s="47"/>
      <c r="AV6" s="47"/>
      <c r="AW6" s="47"/>
      <c r="AX6" s="48"/>
      <c r="AZ6" s="45"/>
      <c r="BA6" s="45"/>
      <c r="BB6" s="45"/>
      <c r="BC6" s="43"/>
      <c r="BH6" s="44"/>
      <c r="BI6" s="45"/>
    </row>
    <row r="7" spans="1:62" ht="11.25" customHeight="1" thickBot="1">
      <c r="A7" s="623"/>
      <c r="B7" s="624"/>
      <c r="C7" s="64"/>
      <c r="D7" s="65"/>
      <c r="E7" s="65"/>
      <c r="F7" s="65"/>
      <c r="G7" s="65"/>
      <c r="H7" s="66"/>
      <c r="I7" s="50"/>
      <c r="J7" s="627"/>
      <c r="K7" s="627"/>
      <c r="M7" s="64"/>
      <c r="N7" s="65"/>
      <c r="O7" s="65"/>
      <c r="P7" s="65"/>
      <c r="Q7" s="65"/>
      <c r="R7" s="66"/>
      <c r="S7" s="630"/>
      <c r="T7" s="623"/>
      <c r="V7" s="623"/>
      <c r="W7" s="624"/>
      <c r="X7" s="64"/>
      <c r="Y7" s="65"/>
      <c r="Z7" s="65"/>
      <c r="AA7" s="65"/>
      <c r="AB7" s="65"/>
      <c r="AC7" s="66"/>
      <c r="AD7" s="50"/>
      <c r="AE7" s="627"/>
      <c r="AF7" s="627"/>
      <c r="AH7" s="64"/>
      <c r="AI7" s="65"/>
      <c r="AJ7" s="65"/>
      <c r="AK7" s="65"/>
      <c r="AL7" s="65"/>
      <c r="AM7" s="66"/>
      <c r="AN7" s="630"/>
      <c r="AO7" s="623"/>
      <c r="AR7" s="624"/>
      <c r="AS7" s="64"/>
      <c r="AT7" s="65"/>
      <c r="AU7" s="65"/>
      <c r="AV7" s="65"/>
      <c r="AW7" s="65"/>
      <c r="AX7" s="66"/>
      <c r="AY7" s="50"/>
      <c r="AZ7" s="627"/>
      <c r="BA7" s="627"/>
      <c r="BC7" s="64"/>
      <c r="BD7" s="65"/>
      <c r="BE7" s="65"/>
      <c r="BF7" s="65"/>
      <c r="BG7" s="65"/>
      <c r="BH7" s="66"/>
      <c r="BI7" s="630"/>
    </row>
    <row r="8" spans="1:62">
      <c r="A8" s="623"/>
      <c r="B8" s="625"/>
      <c r="C8" s="73"/>
      <c r="D8" s="56"/>
      <c r="E8" s="57"/>
      <c r="F8" s="57"/>
      <c r="G8" s="58"/>
      <c r="H8" s="71"/>
      <c r="J8" s="628"/>
      <c r="K8" s="628"/>
      <c r="M8" s="73"/>
      <c r="N8" s="56"/>
      <c r="O8" s="57"/>
      <c r="P8" s="57"/>
      <c r="Q8" s="58"/>
      <c r="R8" s="71"/>
      <c r="S8" s="631"/>
      <c r="T8" s="623"/>
      <c r="V8" s="623"/>
      <c r="W8" s="625"/>
      <c r="X8" s="73"/>
      <c r="Y8" s="56"/>
      <c r="Z8" s="57"/>
      <c r="AA8" s="57"/>
      <c r="AB8" s="58"/>
      <c r="AC8" s="71"/>
      <c r="AE8" s="628"/>
      <c r="AF8" s="628"/>
      <c r="AH8" s="73"/>
      <c r="AI8" s="56"/>
      <c r="AJ8" s="57"/>
      <c r="AK8" s="57"/>
      <c r="AL8" s="58"/>
      <c r="AM8" s="71"/>
      <c r="AN8" s="631"/>
      <c r="AO8" s="623"/>
      <c r="AR8" s="625"/>
      <c r="AS8" s="73"/>
      <c r="AT8" s="102"/>
      <c r="AU8" s="103"/>
      <c r="AV8" s="103"/>
      <c r="AW8" s="104"/>
      <c r="AX8" s="71"/>
      <c r="AZ8" s="628"/>
      <c r="BA8" s="628"/>
      <c r="BC8" s="73"/>
      <c r="BD8" s="102"/>
      <c r="BE8" s="103"/>
      <c r="BF8" s="103"/>
      <c r="BG8" s="104"/>
      <c r="BH8" s="71"/>
      <c r="BI8" s="631"/>
    </row>
    <row r="9" spans="1:62">
      <c r="A9" s="623"/>
      <c r="B9" s="626"/>
      <c r="C9" s="73"/>
      <c r="D9" s="59"/>
      <c r="E9" s="60"/>
      <c r="F9" s="60"/>
      <c r="G9" s="61"/>
      <c r="H9" s="71"/>
      <c r="J9" s="628"/>
      <c r="K9" s="628"/>
      <c r="M9" s="73"/>
      <c r="N9" s="59"/>
      <c r="O9" s="60"/>
      <c r="P9" s="60"/>
      <c r="Q9" s="61"/>
      <c r="R9" s="71"/>
      <c r="S9" s="632"/>
      <c r="T9" s="623"/>
      <c r="V9" s="623"/>
      <c r="W9" s="626"/>
      <c r="X9" s="73"/>
      <c r="Y9" s="59"/>
      <c r="Z9" s="60"/>
      <c r="AA9" s="60"/>
      <c r="AB9" s="61"/>
      <c r="AC9" s="71"/>
      <c r="AE9" s="628"/>
      <c r="AF9" s="628"/>
      <c r="AH9" s="73"/>
      <c r="AI9" s="59"/>
      <c r="AJ9" s="60"/>
      <c r="AK9" s="60"/>
      <c r="AL9" s="61"/>
      <c r="AM9" s="71"/>
      <c r="AN9" s="632"/>
      <c r="AO9" s="623"/>
      <c r="AR9" s="626"/>
      <c r="AS9" s="73"/>
      <c r="AT9" s="105"/>
      <c r="AU9" s="106"/>
      <c r="AV9" s="106"/>
      <c r="AW9" s="107"/>
      <c r="AX9" s="71"/>
      <c r="AZ9" s="628"/>
      <c r="BA9" s="628"/>
      <c r="BC9" s="73"/>
      <c r="BD9" s="105"/>
      <c r="BE9" s="106"/>
      <c r="BF9" s="106"/>
      <c r="BG9" s="107"/>
      <c r="BH9" s="71"/>
      <c r="BI9" s="632"/>
    </row>
    <row r="10" spans="1:62">
      <c r="A10" s="623"/>
      <c r="C10" s="73"/>
      <c r="D10" s="59"/>
      <c r="E10" s="60"/>
      <c r="F10" s="60"/>
      <c r="G10" s="61"/>
      <c r="H10" s="71"/>
      <c r="J10" s="628"/>
      <c r="K10" s="628"/>
      <c r="M10" s="73"/>
      <c r="N10" s="59"/>
      <c r="O10" s="60"/>
      <c r="P10" s="60"/>
      <c r="Q10" s="61"/>
      <c r="R10" s="71"/>
      <c r="T10" s="623"/>
      <c r="V10" s="623"/>
      <c r="X10" s="73"/>
      <c r="Y10" s="59"/>
      <c r="Z10" s="60"/>
      <c r="AA10" s="60"/>
      <c r="AB10" s="61"/>
      <c r="AC10" s="71"/>
      <c r="AE10" s="628"/>
      <c r="AF10" s="628"/>
      <c r="AH10" s="73"/>
      <c r="AI10" s="59"/>
      <c r="AJ10" s="60"/>
      <c r="AK10" s="60"/>
      <c r="AL10" s="61"/>
      <c r="AM10" s="71"/>
      <c r="AO10" s="623"/>
      <c r="AS10" s="73"/>
      <c r="AT10" s="105"/>
      <c r="AU10" s="106"/>
      <c r="AV10" s="106"/>
      <c r="AW10" s="107"/>
      <c r="AX10" s="71"/>
      <c r="AZ10" s="628"/>
      <c r="BA10" s="628"/>
      <c r="BC10" s="73"/>
      <c r="BD10" s="105"/>
      <c r="BE10" s="106"/>
      <c r="BF10" s="106"/>
      <c r="BG10" s="107"/>
      <c r="BH10" s="71"/>
    </row>
    <row r="11" spans="1:62">
      <c r="A11" s="623"/>
      <c r="C11" s="73"/>
      <c r="D11" s="59"/>
      <c r="E11" s="60"/>
      <c r="F11" s="60"/>
      <c r="G11" s="61"/>
      <c r="H11" s="71"/>
      <c r="J11" s="628"/>
      <c r="K11" s="628"/>
      <c r="M11" s="73"/>
      <c r="N11" s="59"/>
      <c r="O11" s="60"/>
      <c r="P11" s="60"/>
      <c r="Q11" s="61"/>
      <c r="R11" s="71"/>
      <c r="T11" s="623"/>
      <c r="V11" s="623"/>
      <c r="X11" s="73"/>
      <c r="Y11" s="59"/>
      <c r="Z11" s="60"/>
      <c r="AA11" s="60"/>
      <c r="AB11" s="61"/>
      <c r="AC11" s="71"/>
      <c r="AE11" s="628"/>
      <c r="AF11" s="628"/>
      <c r="AH11" s="73"/>
      <c r="AI11" s="59"/>
      <c r="AJ11" s="60"/>
      <c r="AK11" s="60"/>
      <c r="AL11" s="61"/>
      <c r="AM11" s="71"/>
      <c r="AO11" s="623"/>
      <c r="AS11" s="73"/>
      <c r="AT11" s="105"/>
      <c r="AU11" s="106"/>
      <c r="AV11" s="106"/>
      <c r="AW11" s="107"/>
      <c r="AX11" s="71"/>
      <c r="AZ11" s="628"/>
      <c r="BA11" s="628"/>
      <c r="BC11" s="73"/>
      <c r="BD11" s="105"/>
      <c r="BE11" s="106"/>
      <c r="BF11" s="106"/>
      <c r="BG11" s="107"/>
      <c r="BH11" s="71"/>
    </row>
    <row r="12" spans="1:62">
      <c r="A12" s="623"/>
      <c r="C12" s="73"/>
      <c r="D12" s="59"/>
      <c r="E12" s="60"/>
      <c r="F12" s="60"/>
      <c r="G12" s="61"/>
      <c r="H12" s="71"/>
      <c r="J12" s="628"/>
      <c r="K12" s="628"/>
      <c r="M12" s="73"/>
      <c r="N12" s="59"/>
      <c r="O12" s="60"/>
      <c r="P12" s="60"/>
      <c r="Q12" s="61"/>
      <c r="R12" s="71"/>
      <c r="T12" s="623"/>
      <c r="V12" s="623"/>
      <c r="X12" s="73"/>
      <c r="Y12" s="59"/>
      <c r="Z12" s="60"/>
      <c r="AA12" s="60"/>
      <c r="AB12" s="61"/>
      <c r="AC12" s="71"/>
      <c r="AE12" s="628"/>
      <c r="AF12" s="628"/>
      <c r="AH12" s="73"/>
      <c r="AI12" s="59"/>
      <c r="AJ12" s="60"/>
      <c r="AK12" s="60"/>
      <c r="AL12" s="61"/>
      <c r="AM12" s="71"/>
      <c r="AO12" s="623"/>
      <c r="AS12" s="73"/>
      <c r="AT12" s="105"/>
      <c r="AU12" s="106"/>
      <c r="AV12" s="106"/>
      <c r="AW12" s="107"/>
      <c r="AX12" s="71"/>
      <c r="AZ12" s="628"/>
      <c r="BA12" s="628"/>
      <c r="BC12" s="73"/>
      <c r="BD12" s="105"/>
      <c r="BE12" s="106"/>
      <c r="BF12" s="106"/>
      <c r="BG12" s="107"/>
      <c r="BH12" s="71"/>
    </row>
    <row r="13" spans="1:62">
      <c r="A13" s="623"/>
      <c r="B13" s="86"/>
      <c r="C13" s="73"/>
      <c r="D13" s="59"/>
      <c r="E13" s="60"/>
      <c r="F13" s="60"/>
      <c r="G13" s="61"/>
      <c r="H13" s="71"/>
      <c r="J13" s="628"/>
      <c r="K13" s="628"/>
      <c r="M13" s="73"/>
      <c r="N13" s="59"/>
      <c r="O13" s="60"/>
      <c r="P13" s="60"/>
      <c r="Q13" s="61"/>
      <c r="R13" s="71"/>
      <c r="S13" s="85"/>
      <c r="T13" s="623"/>
      <c r="V13" s="623"/>
      <c r="W13" s="86"/>
      <c r="X13" s="73"/>
      <c r="Y13" s="59"/>
      <c r="Z13" s="60"/>
      <c r="AA13" s="60"/>
      <c r="AB13" s="61"/>
      <c r="AC13" s="71"/>
      <c r="AE13" s="628"/>
      <c r="AF13" s="628"/>
      <c r="AH13" s="73"/>
      <c r="AI13" s="59"/>
      <c r="AJ13" s="60"/>
      <c r="AK13" s="60"/>
      <c r="AL13" s="61"/>
      <c r="AM13" s="71"/>
      <c r="AN13" s="85"/>
      <c r="AO13" s="623"/>
      <c r="AS13" s="73"/>
      <c r="AT13" s="105"/>
      <c r="AU13" s="106"/>
      <c r="AV13" s="106"/>
      <c r="AW13" s="107"/>
      <c r="AX13" s="71"/>
      <c r="AZ13" s="628"/>
      <c r="BA13" s="628"/>
      <c r="BC13" s="73"/>
      <c r="BD13" s="105"/>
      <c r="BE13" s="106"/>
      <c r="BF13" s="106"/>
      <c r="BG13" s="107"/>
      <c r="BH13" s="71"/>
    </row>
    <row r="14" spans="1:62">
      <c r="A14" s="623"/>
      <c r="C14" s="73"/>
      <c r="D14" s="59"/>
      <c r="E14" s="60"/>
      <c r="F14" s="60"/>
      <c r="G14" s="61"/>
      <c r="H14" s="71"/>
      <c r="J14" s="628"/>
      <c r="K14" s="628"/>
      <c r="M14" s="73"/>
      <c r="N14" s="59"/>
      <c r="O14" s="60"/>
      <c r="P14" s="60"/>
      <c r="Q14" s="61"/>
      <c r="R14" s="71"/>
      <c r="T14" s="623"/>
      <c r="V14" s="623"/>
      <c r="X14" s="73"/>
      <c r="Y14" s="59"/>
      <c r="Z14" s="60"/>
      <c r="AA14" s="60"/>
      <c r="AB14" s="61"/>
      <c r="AC14" s="71"/>
      <c r="AE14" s="628"/>
      <c r="AF14" s="628"/>
      <c r="AH14" s="73"/>
      <c r="AI14" s="59"/>
      <c r="AJ14" s="60"/>
      <c r="AK14" s="60"/>
      <c r="AL14" s="61"/>
      <c r="AM14" s="71"/>
      <c r="AO14" s="623"/>
      <c r="AR14" s="86"/>
      <c r="AS14" s="73"/>
      <c r="AT14" s="105"/>
      <c r="AU14" s="106"/>
      <c r="AV14" s="106"/>
      <c r="AW14" s="107"/>
      <c r="AX14" s="71"/>
      <c r="AZ14" s="628"/>
      <c r="BA14" s="628"/>
      <c r="BC14" s="73"/>
      <c r="BD14" s="105"/>
      <c r="BE14" s="106"/>
      <c r="BF14" s="106"/>
      <c r="BG14" s="107"/>
      <c r="BH14" s="71"/>
      <c r="BI14" s="85"/>
    </row>
    <row r="15" spans="1:62">
      <c r="A15" s="623"/>
      <c r="C15" s="73"/>
      <c r="D15" s="59"/>
      <c r="E15" s="60"/>
      <c r="F15" s="60"/>
      <c r="G15" s="61"/>
      <c r="H15" s="71"/>
      <c r="J15" s="628"/>
      <c r="K15" s="628"/>
      <c r="M15" s="73"/>
      <c r="N15" s="59"/>
      <c r="O15" s="60"/>
      <c r="P15" s="60"/>
      <c r="Q15" s="61"/>
      <c r="R15" s="71"/>
      <c r="T15" s="623"/>
      <c r="V15" s="623"/>
      <c r="X15" s="73"/>
      <c r="Y15" s="59"/>
      <c r="Z15" s="60"/>
      <c r="AA15" s="60"/>
      <c r="AB15" s="61"/>
      <c r="AC15" s="71"/>
      <c r="AE15" s="628"/>
      <c r="AF15" s="628"/>
      <c r="AH15" s="73"/>
      <c r="AI15" s="59"/>
      <c r="AJ15" s="60"/>
      <c r="AK15" s="60"/>
      <c r="AL15" s="61"/>
      <c r="AM15" s="71"/>
      <c r="AO15" s="623"/>
      <c r="AS15" s="73"/>
      <c r="AT15" s="105"/>
      <c r="AU15" s="106"/>
      <c r="AV15" s="106"/>
      <c r="AW15" s="107"/>
      <c r="AX15" s="71"/>
      <c r="AZ15" s="628"/>
      <c r="BA15" s="628"/>
      <c r="BC15" s="73"/>
      <c r="BD15" s="105"/>
      <c r="BE15" s="106"/>
      <c r="BF15" s="106"/>
      <c r="BG15" s="107"/>
      <c r="BH15" s="71"/>
    </row>
    <row r="16" spans="1:62">
      <c r="A16" s="623"/>
      <c r="C16" s="73"/>
      <c r="D16" s="59"/>
      <c r="E16" s="60"/>
      <c r="F16" s="60"/>
      <c r="G16" s="61"/>
      <c r="H16" s="71"/>
      <c r="J16" s="628"/>
      <c r="K16" s="628"/>
      <c r="M16" s="73"/>
      <c r="N16" s="59"/>
      <c r="O16" s="60"/>
      <c r="P16" s="60"/>
      <c r="Q16" s="61"/>
      <c r="R16" s="71"/>
      <c r="T16" s="623"/>
      <c r="V16" s="623"/>
      <c r="X16" s="73"/>
      <c r="Y16" s="59"/>
      <c r="Z16" s="60"/>
      <c r="AA16" s="60"/>
      <c r="AB16" s="61"/>
      <c r="AC16" s="71"/>
      <c r="AE16" s="628"/>
      <c r="AF16" s="628"/>
      <c r="AH16" s="73"/>
      <c r="AI16" s="59"/>
      <c r="AJ16" s="60"/>
      <c r="AK16" s="60"/>
      <c r="AL16" s="61"/>
      <c r="AM16" s="71"/>
      <c r="AO16" s="623"/>
      <c r="AR16" s="86"/>
      <c r="AS16" s="73"/>
      <c r="AT16" s="105"/>
      <c r="AU16" s="106"/>
      <c r="AV16" s="106"/>
      <c r="AW16" s="107"/>
      <c r="AX16" s="71"/>
      <c r="AZ16" s="628"/>
      <c r="BA16" s="628"/>
      <c r="BC16" s="73"/>
      <c r="BD16" s="105"/>
      <c r="BE16" s="106"/>
      <c r="BF16" s="106"/>
      <c r="BG16" s="107"/>
      <c r="BH16" s="71"/>
      <c r="BI16" s="85"/>
    </row>
    <row r="17" spans="1:62">
      <c r="A17" s="623"/>
      <c r="C17" s="73"/>
      <c r="D17" s="59"/>
      <c r="E17" s="60"/>
      <c r="F17" s="60"/>
      <c r="G17" s="61"/>
      <c r="H17" s="71"/>
      <c r="J17" s="628"/>
      <c r="K17" s="628"/>
      <c r="M17" s="73"/>
      <c r="N17" s="59"/>
      <c r="O17" s="60"/>
      <c r="P17" s="60"/>
      <c r="Q17" s="61"/>
      <c r="R17" s="71"/>
      <c r="T17" s="623"/>
      <c r="V17" s="623"/>
      <c r="X17" s="73"/>
      <c r="Y17" s="59"/>
      <c r="Z17" s="60"/>
      <c r="AA17" s="60"/>
      <c r="AB17" s="61"/>
      <c r="AC17" s="71"/>
      <c r="AE17" s="628"/>
      <c r="AF17" s="628"/>
      <c r="AH17" s="73"/>
      <c r="AI17" s="59"/>
      <c r="AJ17" s="60"/>
      <c r="AK17" s="60"/>
      <c r="AL17" s="61"/>
      <c r="AM17" s="71"/>
      <c r="AO17" s="623"/>
      <c r="AR17" s="86"/>
      <c r="AS17" s="73"/>
      <c r="AT17" s="105"/>
      <c r="AU17" s="106"/>
      <c r="AV17" s="106"/>
      <c r="AW17" s="107"/>
      <c r="AX17" s="71"/>
      <c r="AZ17" s="628"/>
      <c r="BA17" s="628"/>
      <c r="BC17" s="73"/>
      <c r="BD17" s="105"/>
      <c r="BE17" s="106"/>
      <c r="BF17" s="106"/>
      <c r="BG17" s="107"/>
      <c r="BH17" s="71"/>
    </row>
    <row r="18" spans="1:62">
      <c r="A18" s="623"/>
      <c r="C18" s="73"/>
      <c r="D18" s="59"/>
      <c r="E18" s="60"/>
      <c r="F18" s="60"/>
      <c r="G18" s="61"/>
      <c r="H18" s="71"/>
      <c r="J18" s="628"/>
      <c r="K18" s="628"/>
      <c r="M18" s="73"/>
      <c r="N18" s="59"/>
      <c r="O18" s="60"/>
      <c r="P18" s="60"/>
      <c r="Q18" s="61"/>
      <c r="R18" s="71"/>
      <c r="T18" s="623"/>
      <c r="V18" s="623"/>
      <c r="X18" s="73"/>
      <c r="Y18" s="59"/>
      <c r="Z18" s="60"/>
      <c r="AA18" s="60"/>
      <c r="AB18" s="61"/>
      <c r="AC18" s="71"/>
      <c r="AE18" s="628"/>
      <c r="AF18" s="628"/>
      <c r="AH18" s="73"/>
      <c r="AI18" s="59"/>
      <c r="AJ18" s="60"/>
      <c r="AK18" s="60"/>
      <c r="AL18" s="61"/>
      <c r="AM18" s="71"/>
      <c r="AO18" s="623"/>
      <c r="AS18" s="73"/>
      <c r="AT18" s="105"/>
      <c r="AU18" s="106"/>
      <c r="AV18" s="106"/>
      <c r="AW18" s="107"/>
      <c r="AX18" s="71"/>
      <c r="AZ18" s="628"/>
      <c r="BA18" s="628"/>
      <c r="BC18" s="73"/>
      <c r="BD18" s="105"/>
      <c r="BE18" s="106"/>
      <c r="BF18" s="106"/>
      <c r="BG18" s="107"/>
      <c r="BH18" s="71"/>
    </row>
    <row r="19" spans="1:62">
      <c r="A19" s="623"/>
      <c r="C19" s="73"/>
      <c r="D19" s="59"/>
      <c r="E19" s="60"/>
      <c r="F19" s="60"/>
      <c r="G19" s="61"/>
      <c r="H19" s="71"/>
      <c r="J19" s="628"/>
      <c r="K19" s="628"/>
      <c r="M19" s="73"/>
      <c r="N19" s="59"/>
      <c r="O19" s="60"/>
      <c r="P19" s="60"/>
      <c r="Q19" s="61"/>
      <c r="R19" s="71"/>
      <c r="T19" s="623"/>
      <c r="V19" s="623"/>
      <c r="X19" s="73"/>
      <c r="Y19" s="59"/>
      <c r="Z19" s="60"/>
      <c r="AA19" s="60"/>
      <c r="AB19" s="61"/>
      <c r="AC19" s="71"/>
      <c r="AE19" s="628"/>
      <c r="AF19" s="628"/>
      <c r="AH19" s="73"/>
      <c r="AI19" s="59"/>
      <c r="AJ19" s="60"/>
      <c r="AK19" s="60"/>
      <c r="AL19" s="61"/>
      <c r="AM19" s="71"/>
      <c r="AO19" s="623"/>
      <c r="AS19" s="73"/>
      <c r="AT19" s="105"/>
      <c r="AU19" s="106"/>
      <c r="AV19" s="106"/>
      <c r="AW19" s="107"/>
      <c r="AX19" s="71"/>
      <c r="AZ19" s="628"/>
      <c r="BA19" s="628"/>
      <c r="BC19" s="73"/>
      <c r="BD19" s="105"/>
      <c r="BE19" s="106"/>
      <c r="BF19" s="106"/>
      <c r="BG19" s="107"/>
      <c r="BH19" s="71"/>
    </row>
    <row r="20" spans="1:62">
      <c r="A20" s="623"/>
      <c r="C20" s="73"/>
      <c r="D20" s="59"/>
      <c r="E20" s="60"/>
      <c r="F20" s="60"/>
      <c r="G20" s="61"/>
      <c r="H20" s="71"/>
      <c r="J20" s="628"/>
      <c r="K20" s="628"/>
      <c r="M20" s="73"/>
      <c r="N20" s="59"/>
      <c r="O20" s="60"/>
      <c r="P20" s="60"/>
      <c r="Q20" s="61"/>
      <c r="R20" s="71"/>
      <c r="T20" s="623"/>
      <c r="V20" s="623"/>
      <c r="X20" s="73"/>
      <c r="Y20" s="59"/>
      <c r="Z20" s="60"/>
      <c r="AA20" s="60"/>
      <c r="AB20" s="61"/>
      <c r="AC20" s="71"/>
      <c r="AE20" s="628"/>
      <c r="AF20" s="628"/>
      <c r="AH20" s="73"/>
      <c r="AI20" s="59"/>
      <c r="AJ20" s="60"/>
      <c r="AK20" s="60"/>
      <c r="AL20" s="61"/>
      <c r="AM20" s="71"/>
      <c r="AO20" s="623"/>
      <c r="AS20" s="73"/>
      <c r="AT20" s="105"/>
      <c r="AU20" s="106"/>
      <c r="AV20" s="106"/>
      <c r="AW20" s="107"/>
      <c r="AX20" s="71"/>
      <c r="AZ20" s="628"/>
      <c r="BA20" s="628"/>
      <c r="BC20" s="73"/>
      <c r="BD20" s="105"/>
      <c r="BE20" s="106"/>
      <c r="BF20" s="106"/>
      <c r="BG20" s="107"/>
      <c r="BH20" s="71"/>
      <c r="BI20" s="85"/>
    </row>
    <row r="21" spans="1:62">
      <c r="A21" s="623"/>
      <c r="B21" s="86"/>
      <c r="C21" s="73"/>
      <c r="D21" s="59"/>
      <c r="E21" s="635"/>
      <c r="F21" s="635"/>
      <c r="G21" s="61"/>
      <c r="H21" s="71"/>
      <c r="J21" s="628"/>
      <c r="K21" s="628"/>
      <c r="M21" s="73"/>
      <c r="N21" s="59"/>
      <c r="O21" s="636"/>
      <c r="P21" s="636"/>
      <c r="Q21" s="61"/>
      <c r="R21" s="71"/>
      <c r="S21" s="85"/>
      <c r="T21" s="623"/>
      <c r="V21" s="623"/>
      <c r="W21" s="86"/>
      <c r="X21" s="73"/>
      <c r="Y21" s="59"/>
      <c r="Z21" s="635"/>
      <c r="AA21" s="635"/>
      <c r="AB21" s="61"/>
      <c r="AC21" s="71"/>
      <c r="AE21" s="628"/>
      <c r="AF21" s="628"/>
      <c r="AH21" s="73"/>
      <c r="AI21" s="59"/>
      <c r="AJ21" s="636"/>
      <c r="AK21" s="636"/>
      <c r="AL21" s="61"/>
      <c r="AM21" s="71"/>
      <c r="AN21" s="85"/>
      <c r="AO21" s="623"/>
      <c r="AR21" s="86"/>
      <c r="AS21" s="73"/>
      <c r="AT21" s="105"/>
      <c r="AU21" s="114" t="s">
        <v>131</v>
      </c>
      <c r="AV21" s="119"/>
      <c r="AW21" s="107"/>
      <c r="AX21" s="71"/>
      <c r="AZ21" s="628"/>
      <c r="BA21" s="628"/>
      <c r="BC21" s="73"/>
      <c r="BD21" s="105"/>
      <c r="BE21" s="108" t="s">
        <v>131</v>
      </c>
      <c r="BF21" s="119"/>
      <c r="BG21" s="107"/>
      <c r="BH21" s="71"/>
    </row>
    <row r="22" spans="1:62">
      <c r="A22" s="623"/>
      <c r="C22" s="73"/>
      <c r="D22" s="59"/>
      <c r="E22" s="60"/>
      <c r="F22" s="60"/>
      <c r="G22" s="61"/>
      <c r="H22" s="71"/>
      <c r="J22" s="628"/>
      <c r="K22" s="628"/>
      <c r="M22" s="73"/>
      <c r="N22" s="59"/>
      <c r="O22" s="60"/>
      <c r="P22" s="60"/>
      <c r="Q22" s="61"/>
      <c r="R22" s="71"/>
      <c r="T22" s="623"/>
      <c r="V22" s="623"/>
      <c r="X22" s="73"/>
      <c r="Y22" s="59"/>
      <c r="Z22" s="60"/>
      <c r="AA22" s="60"/>
      <c r="AB22" s="61"/>
      <c r="AC22" s="71"/>
      <c r="AE22" s="628"/>
      <c r="AF22" s="628"/>
      <c r="AH22" s="73"/>
      <c r="AI22" s="59"/>
      <c r="AJ22" s="60"/>
      <c r="AK22" s="60"/>
      <c r="AL22" s="61"/>
      <c r="AM22" s="71"/>
      <c r="AO22" s="623"/>
      <c r="AS22" s="73"/>
      <c r="AT22" s="105"/>
      <c r="AU22" s="106"/>
      <c r="AV22" s="106"/>
      <c r="AW22" s="107"/>
      <c r="AX22" s="71"/>
      <c r="AY22" s="52"/>
      <c r="AZ22" s="628"/>
      <c r="BA22" s="628"/>
      <c r="BB22" s="51"/>
      <c r="BC22" s="101"/>
      <c r="BD22" s="109"/>
      <c r="BE22" s="106"/>
      <c r="BF22" s="106"/>
      <c r="BG22" s="107"/>
      <c r="BH22" s="71"/>
    </row>
    <row r="23" spans="1:62">
      <c r="A23" s="623"/>
      <c r="C23" s="73"/>
      <c r="D23" s="59"/>
      <c r="E23" s="60"/>
      <c r="F23" s="60"/>
      <c r="G23" s="61"/>
      <c r="H23" s="71"/>
      <c r="J23" s="628"/>
      <c r="K23" s="628"/>
      <c r="M23" s="73"/>
      <c r="N23" s="59"/>
      <c r="O23" s="60"/>
      <c r="P23" s="60"/>
      <c r="Q23" s="61"/>
      <c r="R23" s="71"/>
      <c r="T23" s="623"/>
      <c r="V23" s="623"/>
      <c r="X23" s="73"/>
      <c r="Y23" s="59"/>
      <c r="Z23" s="60"/>
      <c r="AA23" s="60"/>
      <c r="AB23" s="61"/>
      <c r="AC23" s="71"/>
      <c r="AE23" s="628"/>
      <c r="AF23" s="628"/>
      <c r="AH23" s="73"/>
      <c r="AI23" s="59"/>
      <c r="AJ23" s="60"/>
      <c r="AK23" s="60"/>
      <c r="AL23" s="61"/>
      <c r="AM23" s="71"/>
      <c r="AO23" s="623"/>
      <c r="AS23" s="73"/>
      <c r="AT23" s="117"/>
      <c r="AU23" s="106"/>
      <c r="AV23" s="118"/>
      <c r="AW23" s="115"/>
      <c r="AX23" s="72"/>
      <c r="AY23" s="655"/>
      <c r="AZ23" s="628"/>
      <c r="BA23" s="628"/>
      <c r="BB23" s="633"/>
      <c r="BC23" s="73"/>
      <c r="BD23" s="105"/>
      <c r="BE23" s="118"/>
      <c r="BF23" s="106"/>
      <c r="BG23" s="107"/>
      <c r="BH23" s="71"/>
    </row>
    <row r="24" spans="1:62">
      <c r="A24" s="623"/>
      <c r="B24" s="51"/>
      <c r="C24" s="73"/>
      <c r="D24" s="59"/>
      <c r="E24" s="60"/>
      <c r="F24" s="60"/>
      <c r="G24" s="61"/>
      <c r="H24" s="71"/>
      <c r="I24" s="85"/>
      <c r="J24" s="628"/>
      <c r="K24" s="628"/>
      <c r="M24" s="73"/>
      <c r="N24" s="59"/>
      <c r="O24" s="60"/>
      <c r="P24" s="60"/>
      <c r="Q24" s="61"/>
      <c r="R24" s="71"/>
      <c r="S24" s="51"/>
      <c r="T24" s="623"/>
      <c r="V24" s="623"/>
      <c r="W24" s="51"/>
      <c r="X24" s="73"/>
      <c r="Y24" s="59"/>
      <c r="Z24" s="60"/>
      <c r="AA24" s="60"/>
      <c r="AB24" s="61"/>
      <c r="AC24" s="71"/>
      <c r="AD24" s="45"/>
      <c r="AE24" s="628"/>
      <c r="AF24" s="628"/>
      <c r="AG24" s="45"/>
      <c r="AH24" s="73"/>
      <c r="AI24" s="59"/>
      <c r="AJ24" s="60"/>
      <c r="AK24" s="60"/>
      <c r="AL24" s="61"/>
      <c r="AM24" s="71"/>
      <c r="AN24" s="51"/>
      <c r="AO24" s="623"/>
      <c r="AR24" s="51"/>
      <c r="AS24" s="73"/>
      <c r="AT24" s="105"/>
      <c r="AU24" s="108" t="s">
        <v>131</v>
      </c>
      <c r="AV24" s="120"/>
      <c r="AW24" s="107"/>
      <c r="AX24" s="71"/>
      <c r="AY24" s="656"/>
      <c r="AZ24" s="628"/>
      <c r="BA24" s="628"/>
      <c r="BB24" s="625"/>
      <c r="BC24" s="73"/>
      <c r="BD24" s="105"/>
      <c r="BE24" s="108" t="s">
        <v>131</v>
      </c>
      <c r="BF24" s="119"/>
      <c r="BG24" s="107"/>
      <c r="BH24" s="71"/>
      <c r="BI24" s="51"/>
    </row>
    <row r="25" spans="1:62">
      <c r="A25" s="623"/>
      <c r="B25" s="633"/>
      <c r="C25" s="73"/>
      <c r="D25" s="59"/>
      <c r="E25" s="60"/>
      <c r="F25" s="60"/>
      <c r="G25" s="61"/>
      <c r="H25" s="95"/>
      <c r="I25" s="637"/>
      <c r="J25" s="628"/>
      <c r="K25" s="628"/>
      <c r="L25" s="638"/>
      <c r="M25" s="73"/>
      <c r="N25" s="59"/>
      <c r="O25" s="60"/>
      <c r="P25" s="60"/>
      <c r="Q25" s="61"/>
      <c r="R25" s="71"/>
      <c r="S25" s="634"/>
      <c r="T25" s="623"/>
      <c r="V25" s="623"/>
      <c r="W25" s="633"/>
      <c r="X25" s="73"/>
      <c r="Y25" s="59"/>
      <c r="Z25" s="60"/>
      <c r="AA25" s="60"/>
      <c r="AB25" s="61"/>
      <c r="AC25" s="95"/>
      <c r="AD25" s="664"/>
      <c r="AE25" s="628"/>
      <c r="AF25" s="628"/>
      <c r="AG25" s="663"/>
      <c r="AH25" s="73"/>
      <c r="AI25" s="59"/>
      <c r="AJ25" s="60"/>
      <c r="AK25" s="60"/>
      <c r="AL25" s="61"/>
      <c r="AM25" s="71"/>
      <c r="AN25" s="634"/>
      <c r="AO25" s="623"/>
      <c r="AR25" s="633"/>
      <c r="AS25" s="73"/>
      <c r="AT25" s="105"/>
      <c r="AU25" s="106"/>
      <c r="AV25" s="118"/>
      <c r="AW25" s="116"/>
      <c r="AX25" s="71"/>
      <c r="AY25" s="657"/>
      <c r="AZ25" s="628"/>
      <c r="BA25" s="628"/>
      <c r="BB25" s="626"/>
      <c r="BC25" s="73"/>
      <c r="BD25" s="109"/>
      <c r="BE25" s="118"/>
      <c r="BF25" s="106"/>
      <c r="BG25" s="107"/>
      <c r="BH25" s="71"/>
      <c r="BI25" s="634"/>
    </row>
    <row r="26" spans="1:62" ht="15.75" thickBot="1">
      <c r="A26" s="623"/>
      <c r="B26" s="625"/>
      <c r="C26" s="73"/>
      <c r="D26" s="96"/>
      <c r="E26" s="62"/>
      <c r="F26" s="62"/>
      <c r="G26" s="63"/>
      <c r="H26" s="95"/>
      <c r="I26" s="637"/>
      <c r="J26" s="628"/>
      <c r="K26" s="628"/>
      <c r="L26" s="638"/>
      <c r="M26" s="95"/>
      <c r="N26" s="96"/>
      <c r="O26" s="62"/>
      <c r="P26" s="62"/>
      <c r="Q26" s="63"/>
      <c r="R26" s="71"/>
      <c r="S26" s="631"/>
      <c r="T26" s="623"/>
      <c r="V26" s="623"/>
      <c r="W26" s="625"/>
      <c r="X26" s="73"/>
      <c r="Y26" s="96"/>
      <c r="Z26" s="62"/>
      <c r="AA26" s="62"/>
      <c r="AB26" s="63"/>
      <c r="AC26" s="95"/>
      <c r="AD26" s="637"/>
      <c r="AE26" s="628"/>
      <c r="AF26" s="628"/>
      <c r="AG26" s="638"/>
      <c r="AH26" s="95"/>
      <c r="AI26" s="96"/>
      <c r="AJ26" s="62"/>
      <c r="AK26" s="62"/>
      <c r="AL26" s="63"/>
      <c r="AM26" s="71"/>
      <c r="AN26" s="631"/>
      <c r="AO26" s="623"/>
      <c r="AR26" s="625"/>
      <c r="AS26" s="73"/>
      <c r="AT26" s="110"/>
      <c r="AU26" s="111"/>
      <c r="AV26" s="112"/>
      <c r="AW26" s="113"/>
      <c r="AX26" s="72"/>
      <c r="AY26" s="655"/>
      <c r="AZ26" s="628"/>
      <c r="BA26" s="628"/>
      <c r="BB26" s="633"/>
      <c r="BC26" s="72"/>
      <c r="BD26" s="110"/>
      <c r="BE26" s="111"/>
      <c r="BF26" s="112"/>
      <c r="BG26" s="113"/>
      <c r="BH26" s="71"/>
      <c r="BI26" s="631"/>
    </row>
    <row r="27" spans="1:62" ht="11.25" customHeight="1" thickBot="1">
      <c r="A27" s="623"/>
      <c r="B27" s="639"/>
      <c r="C27" s="67"/>
      <c r="D27" s="68"/>
      <c r="E27" s="68"/>
      <c r="F27" s="68"/>
      <c r="G27" s="97"/>
      <c r="H27" s="70"/>
      <c r="I27" s="650"/>
      <c r="J27" s="629"/>
      <c r="K27" s="629"/>
      <c r="L27" s="651"/>
      <c r="M27" s="67"/>
      <c r="N27" s="68"/>
      <c r="O27" s="97"/>
      <c r="P27" s="68"/>
      <c r="Q27" s="68"/>
      <c r="R27" s="70"/>
      <c r="S27" s="640"/>
      <c r="T27" s="623"/>
      <c r="V27" s="623"/>
      <c r="W27" s="639"/>
      <c r="X27" s="67"/>
      <c r="Y27" s="68"/>
      <c r="Z27" s="68"/>
      <c r="AA27" s="68"/>
      <c r="AB27" s="97"/>
      <c r="AC27" s="70"/>
      <c r="AD27" s="650"/>
      <c r="AE27" s="629"/>
      <c r="AF27" s="629"/>
      <c r="AG27" s="651"/>
      <c r="AH27" s="67"/>
      <c r="AI27" s="68"/>
      <c r="AJ27" s="97"/>
      <c r="AK27" s="68"/>
      <c r="AL27" s="68"/>
      <c r="AM27" s="70"/>
      <c r="AN27" s="640"/>
      <c r="AO27" s="623"/>
      <c r="AR27" s="639"/>
      <c r="AS27" s="67"/>
      <c r="AT27" s="68"/>
      <c r="AU27" s="69"/>
      <c r="AV27" s="68"/>
      <c r="AW27" s="69"/>
      <c r="AX27" s="70"/>
      <c r="AY27" s="658"/>
      <c r="AZ27" s="629"/>
      <c r="BA27" s="629"/>
      <c r="BB27" s="639"/>
      <c r="BC27" s="67"/>
      <c r="BD27" s="68"/>
      <c r="BE27" s="69"/>
      <c r="BF27" s="68"/>
      <c r="BG27" s="69"/>
      <c r="BH27" s="70"/>
      <c r="BI27" s="640"/>
    </row>
    <row r="28" spans="1:62">
      <c r="B28" s="50"/>
      <c r="C28" s="49"/>
      <c r="G28" s="49"/>
      <c r="I28" s="50"/>
      <c r="L28" s="50"/>
      <c r="N28" s="49"/>
      <c r="O28" s="49"/>
      <c r="R28" s="49"/>
      <c r="W28" s="50"/>
      <c r="X28" s="49"/>
      <c r="AB28" s="49"/>
      <c r="AD28" s="50"/>
      <c r="AG28" s="50"/>
      <c r="AI28" s="49"/>
      <c r="AJ28" s="49"/>
      <c r="AM28" s="49"/>
      <c r="AR28" s="50"/>
      <c r="AS28" s="49"/>
      <c r="AT28" s="99"/>
      <c r="AU28" s="659"/>
      <c r="AV28" s="660"/>
      <c r="AW28" s="659"/>
      <c r="AX28" s="661"/>
      <c r="AY28" s="50"/>
      <c r="BB28" s="54"/>
      <c r="BC28" s="662"/>
      <c r="BD28" s="660"/>
      <c r="BE28" s="659"/>
      <c r="BF28" s="660"/>
      <c r="BH28" s="49"/>
    </row>
    <row r="29" spans="1:62" ht="15.75">
      <c r="D29" s="98"/>
      <c r="E29" s="98"/>
      <c r="F29" s="618" t="s">
        <v>177</v>
      </c>
      <c r="G29" s="618"/>
      <c r="H29" s="618"/>
      <c r="I29" s="618"/>
      <c r="J29" s="618"/>
      <c r="Y29" s="98"/>
      <c r="Z29" s="98"/>
      <c r="AA29" s="618" t="s">
        <v>177</v>
      </c>
      <c r="AB29" s="618"/>
      <c r="AC29" s="618"/>
      <c r="AD29" s="618"/>
      <c r="AE29" s="618"/>
      <c r="AT29" s="100"/>
      <c r="AV29" s="44"/>
      <c r="AX29" s="44"/>
      <c r="BB29" s="44"/>
      <c r="BE29" s="55"/>
      <c r="BF29" s="100"/>
    </row>
    <row r="31" spans="1:62" ht="15" customHeight="1">
      <c r="A31" s="619" t="s">
        <v>132</v>
      </c>
      <c r="B31" s="619"/>
      <c r="C31" s="619"/>
      <c r="D31" s="619"/>
      <c r="E31" s="619"/>
      <c r="F31" s="619"/>
      <c r="G31" s="619"/>
      <c r="H31" s="619"/>
      <c r="I31" s="619"/>
      <c r="J31" s="619"/>
      <c r="K31" s="619"/>
      <c r="L31" s="619"/>
      <c r="M31" s="619"/>
      <c r="N31" s="619"/>
      <c r="O31" s="619"/>
      <c r="P31" s="619"/>
      <c r="Q31" s="619"/>
      <c r="R31" s="619"/>
      <c r="S31" s="619"/>
      <c r="T31" s="619"/>
      <c r="V31" s="619" t="s">
        <v>132</v>
      </c>
      <c r="W31" s="619"/>
      <c r="X31" s="619"/>
      <c r="Y31" s="619"/>
      <c r="Z31" s="619"/>
      <c r="AA31" s="619"/>
      <c r="AB31" s="619"/>
      <c r="AC31" s="619"/>
      <c r="AD31" s="619"/>
      <c r="AE31" s="619"/>
      <c r="AF31" s="619"/>
      <c r="AG31" s="619"/>
      <c r="AH31" s="619"/>
      <c r="AI31" s="619"/>
      <c r="AJ31" s="619"/>
      <c r="AK31" s="619"/>
      <c r="AL31" s="619"/>
      <c r="AM31" s="619"/>
      <c r="AN31" s="619"/>
      <c r="AO31" s="619"/>
      <c r="AQ31" s="619" t="s">
        <v>132</v>
      </c>
      <c r="AR31" s="619"/>
      <c r="AS31" s="619"/>
      <c r="AT31" s="619"/>
      <c r="AU31" s="619"/>
      <c r="AV31" s="619"/>
      <c r="AW31" s="619"/>
      <c r="AX31" s="619"/>
      <c r="AY31" s="619"/>
      <c r="AZ31" s="619"/>
      <c r="BA31" s="619"/>
      <c r="BB31" s="619"/>
      <c r="BC31" s="619"/>
      <c r="BD31" s="619"/>
      <c r="BE31" s="619"/>
      <c r="BF31" s="619"/>
      <c r="BG31" s="619"/>
      <c r="BH31" s="619"/>
      <c r="BI31" s="619"/>
      <c r="BJ31" s="619"/>
    </row>
    <row r="32" spans="1:62" ht="15" customHeight="1">
      <c r="A32" s="619"/>
      <c r="B32" s="619"/>
      <c r="C32" s="619"/>
      <c r="D32" s="619"/>
      <c r="E32" s="619"/>
      <c r="F32" s="619"/>
      <c r="G32" s="619"/>
      <c r="H32" s="619"/>
      <c r="I32" s="619"/>
      <c r="J32" s="619"/>
      <c r="K32" s="619"/>
      <c r="L32" s="619"/>
      <c r="M32" s="619"/>
      <c r="N32" s="619"/>
      <c r="O32" s="619"/>
      <c r="P32" s="619"/>
      <c r="Q32" s="619"/>
      <c r="R32" s="619"/>
      <c r="S32" s="619"/>
      <c r="T32" s="619"/>
      <c r="V32" s="619"/>
      <c r="W32" s="619"/>
      <c r="X32" s="619"/>
      <c r="Y32" s="619"/>
      <c r="Z32" s="619"/>
      <c r="AA32" s="619"/>
      <c r="AB32" s="619"/>
      <c r="AC32" s="619"/>
      <c r="AD32" s="619"/>
      <c r="AE32" s="619"/>
      <c r="AF32" s="619"/>
      <c r="AG32" s="619"/>
      <c r="AH32" s="619"/>
      <c r="AI32" s="619"/>
      <c r="AJ32" s="619"/>
      <c r="AK32" s="619"/>
      <c r="AL32" s="619"/>
      <c r="AM32" s="619"/>
      <c r="AN32" s="619"/>
      <c r="AO32" s="619"/>
      <c r="AQ32" s="619"/>
      <c r="AR32" s="619"/>
      <c r="AS32" s="619"/>
      <c r="AT32" s="619"/>
      <c r="AU32" s="619"/>
      <c r="AV32" s="619"/>
      <c r="AW32" s="619"/>
      <c r="AX32" s="619"/>
      <c r="AY32" s="619"/>
      <c r="AZ32" s="619"/>
      <c r="BA32" s="619"/>
      <c r="BB32" s="619"/>
      <c r="BC32" s="619"/>
      <c r="BD32" s="619"/>
      <c r="BE32" s="619"/>
      <c r="BF32" s="619"/>
      <c r="BG32" s="619"/>
      <c r="BH32" s="619"/>
      <c r="BI32" s="619"/>
      <c r="BJ32" s="619"/>
    </row>
    <row r="33" spans="1:62" ht="15" customHeight="1">
      <c r="A33" s="619"/>
      <c r="B33" s="619"/>
      <c r="C33" s="619"/>
      <c r="D33" s="619"/>
      <c r="E33" s="619"/>
      <c r="F33" s="619"/>
      <c r="G33" s="619"/>
      <c r="H33" s="619"/>
      <c r="I33" s="619"/>
      <c r="J33" s="619"/>
      <c r="K33" s="619"/>
      <c r="L33" s="619"/>
      <c r="M33" s="619"/>
      <c r="N33" s="619"/>
      <c r="O33" s="619"/>
      <c r="P33" s="619"/>
      <c r="Q33" s="619"/>
      <c r="R33" s="619"/>
      <c r="S33" s="619"/>
      <c r="T33" s="619"/>
      <c r="V33" s="619"/>
      <c r="W33" s="619"/>
      <c r="X33" s="619"/>
      <c r="Y33" s="619"/>
      <c r="Z33" s="619"/>
      <c r="AA33" s="619"/>
      <c r="AB33" s="619"/>
      <c r="AC33" s="619"/>
      <c r="AD33" s="619"/>
      <c r="AE33" s="619"/>
      <c r="AF33" s="619"/>
      <c r="AG33" s="619"/>
      <c r="AH33" s="619"/>
      <c r="AI33" s="619"/>
      <c r="AJ33" s="619"/>
      <c r="AK33" s="619"/>
      <c r="AL33" s="619"/>
      <c r="AM33" s="619"/>
      <c r="AN33" s="619"/>
      <c r="AO33" s="619"/>
      <c r="AQ33" s="619"/>
      <c r="AR33" s="619"/>
      <c r="AS33" s="619"/>
      <c r="AT33" s="619"/>
      <c r="AU33" s="619"/>
      <c r="AV33" s="619"/>
      <c r="AW33" s="619"/>
      <c r="AX33" s="619"/>
      <c r="AY33" s="619"/>
      <c r="AZ33" s="619"/>
      <c r="BA33" s="619"/>
      <c r="BB33" s="619"/>
      <c r="BC33" s="619"/>
      <c r="BD33" s="619"/>
      <c r="BE33" s="619"/>
      <c r="BF33" s="619"/>
      <c r="BG33" s="619"/>
      <c r="BH33" s="619"/>
      <c r="BI33" s="619"/>
      <c r="BJ33" s="619"/>
    </row>
    <row r="35" spans="1:62">
      <c r="C35" s="620"/>
      <c r="D35" s="621"/>
      <c r="E35" s="621"/>
      <c r="F35" s="621"/>
      <c r="G35" s="621"/>
      <c r="H35" s="622"/>
      <c r="M35" s="620"/>
      <c r="N35" s="621"/>
      <c r="O35" s="621"/>
      <c r="P35" s="621"/>
      <c r="Q35" s="621"/>
      <c r="R35" s="622"/>
      <c r="X35" s="620"/>
      <c r="Y35" s="621"/>
      <c r="Z35" s="621"/>
      <c r="AA35" s="621"/>
      <c r="AB35" s="621"/>
      <c r="AC35" s="622"/>
      <c r="AH35" s="620"/>
      <c r="AI35" s="621"/>
      <c r="AJ35" s="621"/>
      <c r="AK35" s="621"/>
      <c r="AL35" s="621"/>
      <c r="AM35" s="622"/>
      <c r="AS35" s="620"/>
      <c r="AT35" s="621"/>
      <c r="AU35" s="621"/>
      <c r="AV35" s="621"/>
      <c r="AW35" s="621"/>
      <c r="AX35" s="622"/>
      <c r="BC35" s="620"/>
      <c r="BD35" s="621"/>
      <c r="BE35" s="621"/>
      <c r="BF35" s="621"/>
      <c r="BG35" s="621"/>
      <c r="BH35" s="622"/>
    </row>
    <row r="36" spans="1:62" ht="15.75" thickBot="1">
      <c r="B36" s="45"/>
      <c r="C36" s="46"/>
      <c r="D36" s="47"/>
      <c r="E36" s="47"/>
      <c r="F36" s="47"/>
      <c r="G36" s="47"/>
      <c r="H36" s="48"/>
      <c r="J36" s="45"/>
      <c r="K36" s="45"/>
      <c r="L36" s="45"/>
      <c r="M36" s="43"/>
      <c r="R36" s="44"/>
      <c r="S36" s="45"/>
      <c r="W36" s="45"/>
      <c r="X36" s="46"/>
      <c r="Y36" s="47"/>
      <c r="Z36" s="47"/>
      <c r="AA36" s="47"/>
      <c r="AB36" s="47"/>
      <c r="AC36" s="48"/>
      <c r="AE36" s="45"/>
      <c r="AF36" s="45"/>
      <c r="AG36" s="45"/>
      <c r="AH36" s="43"/>
      <c r="AM36" s="44"/>
      <c r="AN36" s="45"/>
      <c r="AR36" s="45"/>
      <c r="AS36" s="46"/>
      <c r="AT36" s="47"/>
      <c r="AU36" s="47"/>
      <c r="AV36" s="47"/>
      <c r="AW36" s="47"/>
      <c r="AX36" s="48"/>
      <c r="AZ36" s="45"/>
      <c r="BA36" s="45"/>
      <c r="BB36" s="45"/>
      <c r="BC36" s="43"/>
      <c r="BH36" s="44"/>
      <c r="BI36" s="45"/>
    </row>
    <row r="37" spans="1:62" ht="11.25" customHeight="1" thickBot="1">
      <c r="B37" s="624"/>
      <c r="C37" s="64"/>
      <c r="D37" s="65"/>
      <c r="E37" s="65"/>
      <c r="F37" s="65"/>
      <c r="G37" s="65"/>
      <c r="H37" s="66"/>
      <c r="I37" s="50"/>
      <c r="J37" s="627"/>
      <c r="K37" s="627"/>
      <c r="M37" s="64"/>
      <c r="N37" s="65"/>
      <c r="O37" s="65"/>
      <c r="P37" s="65"/>
      <c r="Q37" s="65"/>
      <c r="R37" s="66"/>
      <c r="S37" s="630"/>
      <c r="W37" s="624"/>
      <c r="X37" s="64"/>
      <c r="Y37" s="65"/>
      <c r="Z37" s="65"/>
      <c r="AA37" s="65"/>
      <c r="AB37" s="65"/>
      <c r="AC37" s="66"/>
      <c r="AD37" s="50"/>
      <c r="AE37" s="627"/>
      <c r="AF37" s="627"/>
      <c r="AH37" s="64"/>
      <c r="AI37" s="65"/>
      <c r="AJ37" s="65"/>
      <c r="AK37" s="65"/>
      <c r="AL37" s="65"/>
      <c r="AM37" s="66"/>
      <c r="AN37" s="630"/>
      <c r="AR37" s="624"/>
      <c r="AS37" s="64"/>
      <c r="AT37" s="65"/>
      <c r="AU37" s="65"/>
      <c r="AV37" s="65"/>
      <c r="AW37" s="65"/>
      <c r="AX37" s="66"/>
      <c r="AY37" s="50"/>
      <c r="AZ37" s="627"/>
      <c r="BA37" s="627"/>
      <c r="BC37" s="64"/>
      <c r="BD37" s="65"/>
      <c r="BE37" s="65"/>
      <c r="BF37" s="65"/>
      <c r="BG37" s="65"/>
      <c r="BH37" s="66"/>
      <c r="BI37" s="630"/>
    </row>
    <row r="38" spans="1:62">
      <c r="B38" s="625"/>
      <c r="C38" s="73"/>
      <c r="D38" s="56"/>
      <c r="E38" s="57"/>
      <c r="F38" s="57"/>
      <c r="G38" s="58"/>
      <c r="H38" s="71"/>
      <c r="J38" s="628"/>
      <c r="K38" s="628"/>
      <c r="M38" s="73"/>
      <c r="N38" s="56"/>
      <c r="O38" s="57"/>
      <c r="P38" s="57"/>
      <c r="Q38" s="58"/>
      <c r="R38" s="71"/>
      <c r="S38" s="631"/>
      <c r="W38" s="625"/>
      <c r="X38" s="73"/>
      <c r="Y38" s="56"/>
      <c r="Z38" s="57"/>
      <c r="AA38" s="57"/>
      <c r="AB38" s="58"/>
      <c r="AC38" s="71"/>
      <c r="AE38" s="628"/>
      <c r="AF38" s="628"/>
      <c r="AH38" s="73"/>
      <c r="AI38" s="56"/>
      <c r="AJ38" s="57"/>
      <c r="AK38" s="57"/>
      <c r="AL38" s="58"/>
      <c r="AM38" s="71"/>
      <c r="AN38" s="631"/>
      <c r="AR38" s="625"/>
      <c r="AS38" s="73"/>
      <c r="AT38" s="102"/>
      <c r="AU38" s="103"/>
      <c r="AV38" s="103"/>
      <c r="AW38" s="104"/>
      <c r="AX38" s="71"/>
      <c r="AZ38" s="628"/>
      <c r="BA38" s="628"/>
      <c r="BC38" s="73"/>
      <c r="BD38" s="102"/>
      <c r="BE38" s="103"/>
      <c r="BF38" s="103"/>
      <c r="BG38" s="104"/>
      <c r="BH38" s="71"/>
      <c r="BI38" s="631"/>
    </row>
    <row r="39" spans="1:62">
      <c r="B39" s="626"/>
      <c r="C39" s="73"/>
      <c r="D39" s="59"/>
      <c r="E39" s="60"/>
      <c r="F39" s="60"/>
      <c r="G39" s="61"/>
      <c r="H39" s="71"/>
      <c r="J39" s="628"/>
      <c r="K39" s="628"/>
      <c r="M39" s="73"/>
      <c r="N39" s="59"/>
      <c r="O39" s="60"/>
      <c r="P39" s="60"/>
      <c r="Q39" s="61"/>
      <c r="R39" s="71"/>
      <c r="S39" s="632"/>
      <c r="W39" s="626"/>
      <c r="X39" s="73"/>
      <c r="Y39" s="59"/>
      <c r="Z39" s="60"/>
      <c r="AA39" s="60"/>
      <c r="AB39" s="61"/>
      <c r="AC39" s="71"/>
      <c r="AE39" s="628"/>
      <c r="AF39" s="628"/>
      <c r="AH39" s="73"/>
      <c r="AI39" s="59"/>
      <c r="AJ39" s="60"/>
      <c r="AK39" s="60"/>
      <c r="AL39" s="61"/>
      <c r="AM39" s="71"/>
      <c r="AN39" s="632"/>
      <c r="AR39" s="626"/>
      <c r="AS39" s="73"/>
      <c r="AT39" s="105"/>
      <c r="AU39" s="106"/>
      <c r="AV39" s="106"/>
      <c r="AW39" s="107"/>
      <c r="AX39" s="71"/>
      <c r="AZ39" s="628"/>
      <c r="BA39" s="628"/>
      <c r="BC39" s="73"/>
      <c r="BD39" s="105"/>
      <c r="BE39" s="106"/>
      <c r="BF39" s="106"/>
      <c r="BG39" s="107"/>
      <c r="BH39" s="71"/>
      <c r="BI39" s="632"/>
    </row>
    <row r="40" spans="1:62">
      <c r="B40" s="647"/>
      <c r="C40" s="73"/>
      <c r="D40" s="59"/>
      <c r="E40" s="60"/>
      <c r="F40" s="60"/>
      <c r="G40" s="61"/>
      <c r="H40" s="71"/>
      <c r="J40" s="628"/>
      <c r="K40" s="628"/>
      <c r="M40" s="73"/>
      <c r="N40" s="59"/>
      <c r="O40" s="60"/>
      <c r="P40" s="60"/>
      <c r="Q40" s="61"/>
      <c r="R40" s="71"/>
      <c r="W40" s="647"/>
      <c r="X40" s="73"/>
      <c r="Y40" s="59"/>
      <c r="Z40" s="60"/>
      <c r="AA40" s="60"/>
      <c r="AB40" s="61"/>
      <c r="AC40" s="71"/>
      <c r="AE40" s="628"/>
      <c r="AF40" s="628"/>
      <c r="AH40" s="73"/>
      <c r="AI40" s="59"/>
      <c r="AJ40" s="60"/>
      <c r="AK40" s="60"/>
      <c r="AL40" s="61"/>
      <c r="AM40" s="71"/>
      <c r="AS40" s="73"/>
      <c r="AT40" s="105"/>
      <c r="AU40" s="106"/>
      <c r="AV40" s="106"/>
      <c r="AW40" s="107"/>
      <c r="AX40" s="71"/>
      <c r="AZ40" s="628"/>
      <c r="BA40" s="628"/>
      <c r="BC40" s="73"/>
      <c r="BD40" s="105"/>
      <c r="BE40" s="106"/>
      <c r="BF40" s="106"/>
      <c r="BG40" s="107"/>
      <c r="BH40" s="71"/>
    </row>
    <row r="41" spans="1:62">
      <c r="B41" s="648"/>
      <c r="C41" s="73"/>
      <c r="D41" s="59"/>
      <c r="E41" s="60"/>
      <c r="F41" s="60"/>
      <c r="G41" s="61"/>
      <c r="H41" s="71"/>
      <c r="J41" s="628"/>
      <c r="K41" s="628"/>
      <c r="M41" s="73"/>
      <c r="N41" s="59"/>
      <c r="O41" s="60"/>
      <c r="P41" s="60"/>
      <c r="Q41" s="61"/>
      <c r="R41" s="71"/>
      <c r="W41" s="648"/>
      <c r="X41" s="73"/>
      <c r="Y41" s="59"/>
      <c r="Z41" s="60"/>
      <c r="AA41" s="60"/>
      <c r="AB41" s="61"/>
      <c r="AC41" s="71"/>
      <c r="AE41" s="628"/>
      <c r="AF41" s="628"/>
      <c r="AH41" s="73"/>
      <c r="AI41" s="59"/>
      <c r="AJ41" s="60"/>
      <c r="AK41" s="60"/>
      <c r="AL41" s="61"/>
      <c r="AM41" s="71"/>
      <c r="AS41" s="73"/>
      <c r="AT41" s="105"/>
      <c r="AU41" s="106"/>
      <c r="AV41" s="106"/>
      <c r="AW41" s="107"/>
      <c r="AX41" s="71"/>
      <c r="AZ41" s="628"/>
      <c r="BA41" s="628"/>
      <c r="BC41" s="73"/>
      <c r="BD41" s="105"/>
      <c r="BE41" s="106"/>
      <c r="BF41" s="106"/>
      <c r="BG41" s="107"/>
      <c r="BH41" s="71"/>
    </row>
    <row r="42" spans="1:62">
      <c r="B42" s="648"/>
      <c r="C42" s="73"/>
      <c r="D42" s="59"/>
      <c r="E42" s="60"/>
      <c r="F42" s="60"/>
      <c r="G42" s="61"/>
      <c r="H42" s="71"/>
      <c r="J42" s="628"/>
      <c r="K42" s="628"/>
      <c r="M42" s="73"/>
      <c r="N42" s="59"/>
      <c r="O42" s="60"/>
      <c r="P42" s="60"/>
      <c r="Q42" s="61"/>
      <c r="R42" s="71"/>
      <c r="W42" s="648"/>
      <c r="X42" s="73"/>
      <c r="Y42" s="59"/>
      <c r="Z42" s="60"/>
      <c r="AA42" s="60"/>
      <c r="AB42" s="61"/>
      <c r="AC42" s="71"/>
      <c r="AE42" s="628"/>
      <c r="AF42" s="628"/>
      <c r="AH42" s="73"/>
      <c r="AI42" s="59"/>
      <c r="AJ42" s="60"/>
      <c r="AK42" s="60"/>
      <c r="AL42" s="61"/>
      <c r="AM42" s="71"/>
      <c r="AS42" s="73"/>
      <c r="AT42" s="105"/>
      <c r="AU42" s="106"/>
      <c r="AV42" s="106"/>
      <c r="AW42" s="107"/>
      <c r="AX42" s="71"/>
      <c r="AZ42" s="628"/>
      <c r="BA42" s="628"/>
      <c r="BC42" s="73"/>
      <c r="BD42" s="105"/>
      <c r="BE42" s="106"/>
      <c r="BF42" s="106"/>
      <c r="BG42" s="107"/>
      <c r="BH42" s="71"/>
    </row>
    <row r="43" spans="1:62">
      <c r="B43" s="648"/>
      <c r="C43" s="73"/>
      <c r="D43" s="59"/>
      <c r="E43" s="60"/>
      <c r="F43" s="60"/>
      <c r="G43" s="61"/>
      <c r="H43" s="71"/>
      <c r="J43" s="628"/>
      <c r="K43" s="628"/>
      <c r="M43" s="73"/>
      <c r="N43" s="59"/>
      <c r="O43" s="60"/>
      <c r="P43" s="60"/>
      <c r="Q43" s="61"/>
      <c r="R43" s="71"/>
      <c r="S43" s="85"/>
      <c r="W43" s="648"/>
      <c r="X43" s="73"/>
      <c r="Y43" s="59"/>
      <c r="Z43" s="60"/>
      <c r="AA43" s="60"/>
      <c r="AB43" s="61"/>
      <c r="AC43" s="71"/>
      <c r="AE43" s="628"/>
      <c r="AF43" s="628"/>
      <c r="AH43" s="73"/>
      <c r="AI43" s="59"/>
      <c r="AJ43" s="60"/>
      <c r="AK43" s="60"/>
      <c r="AL43" s="61"/>
      <c r="AM43" s="71"/>
      <c r="AN43" s="85"/>
      <c r="AS43" s="73"/>
      <c r="AT43" s="105"/>
      <c r="AU43" s="106"/>
      <c r="AV43" s="106"/>
      <c r="AW43" s="107"/>
      <c r="AX43" s="71"/>
      <c r="AZ43" s="628"/>
      <c r="BA43" s="628"/>
      <c r="BC43" s="73"/>
      <c r="BD43" s="105"/>
      <c r="BE43" s="106"/>
      <c r="BF43" s="106"/>
      <c r="BG43" s="107"/>
      <c r="BH43" s="71"/>
    </row>
    <row r="44" spans="1:62">
      <c r="B44" s="648"/>
      <c r="C44" s="73"/>
      <c r="D44" s="59"/>
      <c r="E44" s="60"/>
      <c r="F44" s="60"/>
      <c r="G44" s="61"/>
      <c r="H44" s="71"/>
      <c r="J44" s="628"/>
      <c r="K44" s="628"/>
      <c r="M44" s="73"/>
      <c r="N44" s="59"/>
      <c r="O44" s="60"/>
      <c r="P44" s="60"/>
      <c r="Q44" s="61"/>
      <c r="R44" s="71"/>
      <c r="W44" s="648"/>
      <c r="X44" s="73"/>
      <c r="Y44" s="59"/>
      <c r="Z44" s="60"/>
      <c r="AA44" s="60"/>
      <c r="AB44" s="61"/>
      <c r="AC44" s="71"/>
      <c r="AE44" s="628"/>
      <c r="AF44" s="628"/>
      <c r="AH44" s="73"/>
      <c r="AI44" s="59"/>
      <c r="AJ44" s="60"/>
      <c r="AK44" s="60"/>
      <c r="AL44" s="61"/>
      <c r="AM44" s="71"/>
      <c r="AR44" s="86"/>
      <c r="AS44" s="73"/>
      <c r="AT44" s="105"/>
      <c r="AU44" s="106"/>
      <c r="AV44" s="106"/>
      <c r="AW44" s="107"/>
      <c r="AX44" s="71"/>
      <c r="AZ44" s="628"/>
      <c r="BA44" s="628"/>
      <c r="BC44" s="73"/>
      <c r="BD44" s="105"/>
      <c r="BE44" s="106"/>
      <c r="BF44" s="106"/>
      <c r="BG44" s="107"/>
      <c r="BH44" s="71"/>
      <c r="BI44" s="85"/>
    </row>
    <row r="45" spans="1:62">
      <c r="B45" s="648"/>
      <c r="C45" s="73"/>
      <c r="D45" s="59"/>
      <c r="E45" s="60"/>
      <c r="F45" s="60"/>
      <c r="G45" s="61"/>
      <c r="H45" s="71"/>
      <c r="J45" s="628"/>
      <c r="K45" s="628"/>
      <c r="M45" s="73"/>
      <c r="N45" s="59"/>
      <c r="O45" s="60"/>
      <c r="P45" s="60"/>
      <c r="Q45" s="61"/>
      <c r="R45" s="71"/>
      <c r="W45" s="648"/>
      <c r="X45" s="73"/>
      <c r="Y45" s="59"/>
      <c r="Z45" s="60"/>
      <c r="AA45" s="60"/>
      <c r="AB45" s="61"/>
      <c r="AC45" s="71"/>
      <c r="AE45" s="628"/>
      <c r="AF45" s="628"/>
      <c r="AH45" s="73"/>
      <c r="AI45" s="59"/>
      <c r="AJ45" s="60"/>
      <c r="AK45" s="60"/>
      <c r="AL45" s="61"/>
      <c r="AM45" s="71"/>
      <c r="AS45" s="73"/>
      <c r="AT45" s="105"/>
      <c r="AU45" s="106"/>
      <c r="AV45" s="106"/>
      <c r="AW45" s="107"/>
      <c r="AX45" s="71"/>
      <c r="AZ45" s="628"/>
      <c r="BA45" s="628"/>
      <c r="BC45" s="73"/>
      <c r="BD45" s="105"/>
      <c r="BE45" s="106"/>
      <c r="BF45" s="106"/>
      <c r="BG45" s="107"/>
      <c r="BH45" s="71"/>
    </row>
    <row r="46" spans="1:62">
      <c r="B46" s="649"/>
      <c r="C46" s="73"/>
      <c r="D46" s="59"/>
      <c r="E46" s="60"/>
      <c r="F46" s="60"/>
      <c r="G46" s="61"/>
      <c r="H46" s="71"/>
      <c r="J46" s="628"/>
      <c r="K46" s="628"/>
      <c r="M46" s="73"/>
      <c r="N46" s="59"/>
      <c r="O46" s="60"/>
      <c r="P46" s="60"/>
      <c r="Q46" s="61"/>
      <c r="R46" s="71"/>
      <c r="S46" s="52"/>
      <c r="W46" s="649"/>
      <c r="X46" s="73"/>
      <c r="Y46" s="59"/>
      <c r="Z46" s="60"/>
      <c r="AA46" s="60"/>
      <c r="AB46" s="61"/>
      <c r="AC46" s="71"/>
      <c r="AE46" s="628"/>
      <c r="AF46" s="628"/>
      <c r="AH46" s="73"/>
      <c r="AI46" s="59"/>
      <c r="AJ46" s="60"/>
      <c r="AK46" s="60"/>
      <c r="AL46" s="61"/>
      <c r="AM46" s="71"/>
      <c r="AN46" s="52"/>
      <c r="AR46" s="94"/>
      <c r="AS46" s="73"/>
      <c r="AT46" s="105"/>
      <c r="AU46" s="106"/>
      <c r="AV46" s="106"/>
      <c r="AW46" s="107"/>
      <c r="AX46" s="71"/>
      <c r="AZ46" s="628"/>
      <c r="BA46" s="628"/>
      <c r="BC46" s="73"/>
      <c r="BD46" s="105"/>
      <c r="BE46" s="106"/>
      <c r="BF46" s="106"/>
      <c r="BG46" s="107"/>
      <c r="BH46" s="71"/>
      <c r="BI46" s="85"/>
    </row>
    <row r="47" spans="1:62">
      <c r="B47" s="633"/>
      <c r="C47" s="73"/>
      <c r="D47" s="59"/>
      <c r="E47" s="60"/>
      <c r="F47" s="60"/>
      <c r="G47" s="61"/>
      <c r="H47" s="71"/>
      <c r="J47" s="628"/>
      <c r="K47" s="628"/>
      <c r="M47" s="73"/>
      <c r="N47" s="59"/>
      <c r="O47" s="60"/>
      <c r="P47" s="60"/>
      <c r="Q47" s="61"/>
      <c r="R47" s="71"/>
      <c r="S47" s="634"/>
      <c r="W47" s="633"/>
      <c r="X47" s="73"/>
      <c r="Y47" s="59"/>
      <c r="Z47" s="60"/>
      <c r="AA47" s="60"/>
      <c r="AB47" s="61"/>
      <c r="AC47" s="71"/>
      <c r="AE47" s="628"/>
      <c r="AF47" s="628"/>
      <c r="AH47" s="73"/>
      <c r="AI47" s="59"/>
      <c r="AJ47" s="60"/>
      <c r="AK47" s="60"/>
      <c r="AL47" s="61"/>
      <c r="AM47" s="71"/>
      <c r="AN47" s="634"/>
      <c r="AR47" s="633"/>
      <c r="AS47" s="73"/>
      <c r="AT47" s="105"/>
      <c r="AU47" s="106"/>
      <c r="AV47" s="106"/>
      <c r="AW47" s="107"/>
      <c r="AX47" s="71"/>
      <c r="AZ47" s="628"/>
      <c r="BA47" s="628"/>
      <c r="BC47" s="73"/>
      <c r="BD47" s="105"/>
      <c r="BE47" s="106"/>
      <c r="BF47" s="106"/>
      <c r="BG47" s="107"/>
      <c r="BH47" s="71"/>
      <c r="BI47" s="634"/>
    </row>
    <row r="48" spans="1:62">
      <c r="B48" s="625"/>
      <c r="C48" s="73"/>
      <c r="D48" s="59"/>
      <c r="E48" s="60"/>
      <c r="F48" s="60"/>
      <c r="G48" s="61"/>
      <c r="H48" s="71"/>
      <c r="J48" s="628"/>
      <c r="K48" s="628"/>
      <c r="M48" s="73"/>
      <c r="N48" s="59"/>
      <c r="O48" s="60"/>
      <c r="P48" s="60"/>
      <c r="Q48" s="61"/>
      <c r="R48" s="71"/>
      <c r="S48" s="631"/>
      <c r="W48" s="625"/>
      <c r="X48" s="73"/>
      <c r="Y48" s="59"/>
      <c r="Z48" s="60"/>
      <c r="AA48" s="60"/>
      <c r="AB48" s="61"/>
      <c r="AC48" s="71"/>
      <c r="AE48" s="628"/>
      <c r="AF48" s="628"/>
      <c r="AH48" s="73"/>
      <c r="AI48" s="59"/>
      <c r="AJ48" s="60"/>
      <c r="AK48" s="60"/>
      <c r="AL48" s="61"/>
      <c r="AM48" s="71"/>
      <c r="AN48" s="631"/>
      <c r="AR48" s="625"/>
      <c r="AS48" s="73"/>
      <c r="AT48" s="105"/>
      <c r="AU48" s="106"/>
      <c r="AV48" s="106"/>
      <c r="AW48" s="107"/>
      <c r="AX48" s="71"/>
      <c r="AZ48" s="628"/>
      <c r="BA48" s="628"/>
      <c r="BC48" s="73"/>
      <c r="BD48" s="105"/>
      <c r="BE48" s="106"/>
      <c r="BF48" s="106"/>
      <c r="BG48" s="107"/>
      <c r="BH48" s="71"/>
      <c r="BI48" s="631"/>
    </row>
    <row r="49" spans="1:62">
      <c r="B49" s="625"/>
      <c r="C49" s="73"/>
      <c r="D49" s="59"/>
      <c r="E49" s="60"/>
      <c r="F49" s="60"/>
      <c r="G49" s="61"/>
      <c r="H49" s="71"/>
      <c r="J49" s="628"/>
      <c r="K49" s="628"/>
      <c r="M49" s="73"/>
      <c r="N49" s="59"/>
      <c r="O49" s="60"/>
      <c r="P49" s="60"/>
      <c r="Q49" s="61"/>
      <c r="R49" s="71"/>
      <c r="S49" s="631"/>
      <c r="W49" s="625"/>
      <c r="X49" s="73"/>
      <c r="Y49" s="59"/>
      <c r="Z49" s="60"/>
      <c r="AA49" s="60"/>
      <c r="AB49" s="61"/>
      <c r="AC49" s="71"/>
      <c r="AE49" s="628"/>
      <c r="AF49" s="628"/>
      <c r="AH49" s="73"/>
      <c r="AI49" s="59"/>
      <c r="AJ49" s="60"/>
      <c r="AK49" s="60"/>
      <c r="AL49" s="61"/>
      <c r="AM49" s="71"/>
      <c r="AN49" s="631"/>
      <c r="AR49" s="625"/>
      <c r="AS49" s="73"/>
      <c r="AT49" s="105"/>
      <c r="AU49" s="106"/>
      <c r="AV49" s="106"/>
      <c r="AW49" s="107"/>
      <c r="AX49" s="71"/>
      <c r="AZ49" s="628"/>
      <c r="BA49" s="628"/>
      <c r="BC49" s="73"/>
      <c r="BD49" s="105"/>
      <c r="BE49" s="106"/>
      <c r="BF49" s="106"/>
      <c r="BG49" s="107"/>
      <c r="BH49" s="71"/>
      <c r="BI49" s="631"/>
    </row>
    <row r="50" spans="1:62">
      <c r="B50" s="625"/>
      <c r="C50" s="73"/>
      <c r="D50" s="59"/>
      <c r="E50" s="60"/>
      <c r="F50" s="60"/>
      <c r="G50" s="61"/>
      <c r="H50" s="71"/>
      <c r="J50" s="628"/>
      <c r="K50" s="628"/>
      <c r="M50" s="73"/>
      <c r="N50" s="59"/>
      <c r="O50" s="60"/>
      <c r="P50" s="60"/>
      <c r="Q50" s="61"/>
      <c r="R50" s="71"/>
      <c r="S50" s="631"/>
      <c r="W50" s="625"/>
      <c r="X50" s="73"/>
      <c r="Y50" s="59"/>
      <c r="Z50" s="60"/>
      <c r="AA50" s="60"/>
      <c r="AB50" s="61"/>
      <c r="AC50" s="71"/>
      <c r="AE50" s="628"/>
      <c r="AF50" s="628"/>
      <c r="AH50" s="73"/>
      <c r="AI50" s="59"/>
      <c r="AJ50" s="60"/>
      <c r="AK50" s="60"/>
      <c r="AL50" s="61"/>
      <c r="AM50" s="71"/>
      <c r="AN50" s="631"/>
      <c r="AR50" s="625"/>
      <c r="AS50" s="73"/>
      <c r="AT50" s="105"/>
      <c r="AU50" s="106"/>
      <c r="AV50" s="106"/>
      <c r="AW50" s="107"/>
      <c r="AX50" s="71"/>
      <c r="AZ50" s="628"/>
      <c r="BA50" s="628"/>
      <c r="BC50" s="73"/>
      <c r="BD50" s="105"/>
      <c r="BE50" s="106"/>
      <c r="BF50" s="106"/>
      <c r="BG50" s="107"/>
      <c r="BH50" s="71"/>
      <c r="BI50" s="631"/>
    </row>
    <row r="51" spans="1:62">
      <c r="B51" s="625"/>
      <c r="C51" s="73"/>
      <c r="D51" s="59"/>
      <c r="E51" s="635"/>
      <c r="F51" s="635"/>
      <c r="G51" s="61"/>
      <c r="H51" s="71"/>
      <c r="J51" s="628"/>
      <c r="K51" s="628"/>
      <c r="M51" s="73"/>
      <c r="N51" s="59"/>
      <c r="O51" s="636"/>
      <c r="P51" s="636"/>
      <c r="Q51" s="61"/>
      <c r="R51" s="71"/>
      <c r="S51" s="631"/>
      <c r="W51" s="625"/>
      <c r="X51" s="73"/>
      <c r="Y51" s="59"/>
      <c r="Z51" s="635"/>
      <c r="AA51" s="635"/>
      <c r="AB51" s="61"/>
      <c r="AC51" s="71"/>
      <c r="AE51" s="628"/>
      <c r="AF51" s="628"/>
      <c r="AH51" s="73"/>
      <c r="AI51" s="59"/>
      <c r="AJ51" s="636"/>
      <c r="AK51" s="636"/>
      <c r="AL51" s="61"/>
      <c r="AM51" s="71"/>
      <c r="AN51" s="631"/>
      <c r="AR51" s="625"/>
      <c r="AS51" s="73"/>
      <c r="AT51" s="105"/>
      <c r="AU51" s="114" t="s">
        <v>131</v>
      </c>
      <c r="AV51" s="119"/>
      <c r="AW51" s="107"/>
      <c r="AX51" s="71"/>
      <c r="AZ51" s="628"/>
      <c r="BA51" s="628"/>
      <c r="BC51" s="73"/>
      <c r="BD51" s="105"/>
      <c r="BE51" s="108" t="s">
        <v>131</v>
      </c>
      <c r="BF51" s="119"/>
      <c r="BG51" s="107"/>
      <c r="BH51" s="71"/>
      <c r="BI51" s="631"/>
    </row>
    <row r="52" spans="1:62">
      <c r="B52" s="625"/>
      <c r="C52" s="73"/>
      <c r="D52" s="59"/>
      <c r="E52" s="60"/>
      <c r="F52" s="60"/>
      <c r="G52" s="61"/>
      <c r="H52" s="71"/>
      <c r="J52" s="628"/>
      <c r="K52" s="628"/>
      <c r="M52" s="73"/>
      <c r="N52" s="59"/>
      <c r="O52" s="60"/>
      <c r="P52" s="60"/>
      <c r="Q52" s="61"/>
      <c r="R52" s="71"/>
      <c r="S52" s="631"/>
      <c r="W52" s="625"/>
      <c r="X52" s="73"/>
      <c r="Y52" s="59"/>
      <c r="Z52" s="60"/>
      <c r="AA52" s="60"/>
      <c r="AB52" s="61"/>
      <c r="AC52" s="71"/>
      <c r="AE52" s="628"/>
      <c r="AF52" s="628"/>
      <c r="AH52" s="73"/>
      <c r="AI52" s="59"/>
      <c r="AJ52" s="60"/>
      <c r="AK52" s="60"/>
      <c r="AL52" s="61"/>
      <c r="AM52" s="71"/>
      <c r="AN52" s="631"/>
      <c r="AR52" s="625"/>
      <c r="AS52" s="73"/>
      <c r="AT52" s="105"/>
      <c r="AU52" s="106"/>
      <c r="AV52" s="106"/>
      <c r="AW52" s="107"/>
      <c r="AX52" s="71"/>
      <c r="AY52" s="52"/>
      <c r="AZ52" s="628"/>
      <c r="BA52" s="628"/>
      <c r="BB52" s="51"/>
      <c r="BC52" s="101"/>
      <c r="BD52" s="109"/>
      <c r="BE52" s="106"/>
      <c r="BF52" s="106"/>
      <c r="BG52" s="107"/>
      <c r="BH52" s="71"/>
      <c r="BI52" s="631"/>
    </row>
    <row r="53" spans="1:62">
      <c r="B53" s="625"/>
      <c r="C53" s="73"/>
      <c r="D53" s="59"/>
      <c r="E53" s="60"/>
      <c r="F53" s="60"/>
      <c r="G53" s="61"/>
      <c r="H53" s="71"/>
      <c r="J53" s="628"/>
      <c r="K53" s="628"/>
      <c r="M53" s="73"/>
      <c r="N53" s="59"/>
      <c r="O53" s="60"/>
      <c r="P53" s="60"/>
      <c r="Q53" s="61"/>
      <c r="R53" s="71"/>
      <c r="S53" s="631"/>
      <c r="W53" s="625"/>
      <c r="X53" s="73"/>
      <c r="Y53" s="59"/>
      <c r="Z53" s="60"/>
      <c r="AA53" s="60"/>
      <c r="AB53" s="61"/>
      <c r="AC53" s="71"/>
      <c r="AE53" s="628"/>
      <c r="AF53" s="628"/>
      <c r="AH53" s="73"/>
      <c r="AI53" s="59"/>
      <c r="AJ53" s="60"/>
      <c r="AK53" s="60"/>
      <c r="AL53" s="61"/>
      <c r="AM53" s="71"/>
      <c r="AN53" s="631"/>
      <c r="AR53" s="625"/>
      <c r="AS53" s="73"/>
      <c r="AT53" s="117"/>
      <c r="AU53" s="106"/>
      <c r="AV53" s="118"/>
      <c r="AW53" s="115"/>
      <c r="AX53" s="72"/>
      <c r="AY53" s="655"/>
      <c r="AZ53" s="628"/>
      <c r="BA53" s="628"/>
      <c r="BB53" s="633"/>
      <c r="BC53" s="73"/>
      <c r="BD53" s="105"/>
      <c r="BE53" s="118"/>
      <c r="BF53" s="106"/>
      <c r="BG53" s="107"/>
      <c r="BH53" s="71"/>
      <c r="BI53" s="631"/>
    </row>
    <row r="54" spans="1:62">
      <c r="B54" s="626"/>
      <c r="C54" s="73"/>
      <c r="D54" s="59"/>
      <c r="E54" s="60"/>
      <c r="F54" s="60"/>
      <c r="G54" s="61"/>
      <c r="H54" s="71"/>
      <c r="J54" s="628"/>
      <c r="K54" s="628"/>
      <c r="M54" s="73"/>
      <c r="N54" s="59"/>
      <c r="O54" s="60"/>
      <c r="P54" s="60"/>
      <c r="Q54" s="61"/>
      <c r="R54" s="71"/>
      <c r="S54" s="632"/>
      <c r="W54" s="626"/>
      <c r="X54" s="73"/>
      <c r="Y54" s="59"/>
      <c r="Z54" s="60"/>
      <c r="AA54" s="60"/>
      <c r="AB54" s="61"/>
      <c r="AC54" s="71"/>
      <c r="AE54" s="628"/>
      <c r="AF54" s="628"/>
      <c r="AH54" s="73"/>
      <c r="AI54" s="59"/>
      <c r="AJ54" s="60"/>
      <c r="AK54" s="60"/>
      <c r="AL54" s="61"/>
      <c r="AM54" s="71"/>
      <c r="AN54" s="632"/>
      <c r="AR54" s="626"/>
      <c r="AS54" s="73"/>
      <c r="AT54" s="105"/>
      <c r="AU54" s="108" t="s">
        <v>131</v>
      </c>
      <c r="AV54" s="120"/>
      <c r="AW54" s="107"/>
      <c r="AX54" s="71"/>
      <c r="AY54" s="656"/>
      <c r="AZ54" s="628"/>
      <c r="BA54" s="628"/>
      <c r="BB54" s="625"/>
      <c r="BC54" s="73"/>
      <c r="BD54" s="105"/>
      <c r="BE54" s="108" t="s">
        <v>131</v>
      </c>
      <c r="BF54" s="119"/>
      <c r="BG54" s="107"/>
      <c r="BH54" s="71"/>
      <c r="BI54" s="632"/>
    </row>
    <row r="55" spans="1:62">
      <c r="B55" s="633"/>
      <c r="C55" s="73"/>
      <c r="D55" s="59"/>
      <c r="E55" s="60"/>
      <c r="F55" s="60"/>
      <c r="G55" s="61"/>
      <c r="H55" s="95"/>
      <c r="I55" s="85"/>
      <c r="J55" s="628"/>
      <c r="K55" s="628"/>
      <c r="M55" s="73"/>
      <c r="N55" s="59"/>
      <c r="O55" s="60"/>
      <c r="P55" s="60"/>
      <c r="Q55" s="61"/>
      <c r="R55" s="71"/>
      <c r="S55" s="634"/>
      <c r="W55" s="633"/>
      <c r="X55" s="73"/>
      <c r="Y55" s="59"/>
      <c r="Z55" s="60"/>
      <c r="AA55" s="60"/>
      <c r="AB55" s="61"/>
      <c r="AC55" s="95"/>
      <c r="AD55" s="85"/>
      <c r="AE55" s="628"/>
      <c r="AF55" s="628"/>
      <c r="AH55" s="73"/>
      <c r="AI55" s="59"/>
      <c r="AJ55" s="60"/>
      <c r="AK55" s="60"/>
      <c r="AL55" s="61"/>
      <c r="AM55" s="71"/>
      <c r="AN55" s="634"/>
      <c r="AR55" s="633"/>
      <c r="AS55" s="73"/>
      <c r="AT55" s="105"/>
      <c r="AU55" s="106"/>
      <c r="AV55" s="118"/>
      <c r="AW55" s="116"/>
      <c r="AX55" s="71"/>
      <c r="AY55" s="657"/>
      <c r="AZ55" s="628"/>
      <c r="BA55" s="628"/>
      <c r="BB55" s="626"/>
      <c r="BC55" s="73"/>
      <c r="BD55" s="109"/>
      <c r="BE55" s="118"/>
      <c r="BF55" s="106"/>
      <c r="BG55" s="107"/>
      <c r="BH55" s="71"/>
      <c r="BI55" s="634"/>
    </row>
    <row r="56" spans="1:62" ht="15.75" thickBot="1">
      <c r="B56" s="625"/>
      <c r="C56" s="73"/>
      <c r="D56" s="96"/>
      <c r="E56" s="62"/>
      <c r="F56" s="62"/>
      <c r="G56" s="63"/>
      <c r="H56" s="95"/>
      <c r="I56" s="85"/>
      <c r="J56" s="628"/>
      <c r="K56" s="628"/>
      <c r="L56" s="86"/>
      <c r="M56" s="95"/>
      <c r="N56" s="96"/>
      <c r="O56" s="62"/>
      <c r="P56" s="62"/>
      <c r="Q56" s="63"/>
      <c r="R56" s="71"/>
      <c r="S56" s="631"/>
      <c r="W56" s="625"/>
      <c r="X56" s="73"/>
      <c r="Y56" s="96"/>
      <c r="Z56" s="62"/>
      <c r="AA56" s="62"/>
      <c r="AB56" s="63"/>
      <c r="AC56" s="95"/>
      <c r="AD56" s="85"/>
      <c r="AE56" s="628"/>
      <c r="AF56" s="628"/>
      <c r="AG56" s="86"/>
      <c r="AH56" s="95"/>
      <c r="AI56" s="96"/>
      <c r="AJ56" s="62"/>
      <c r="AK56" s="62"/>
      <c r="AL56" s="63"/>
      <c r="AM56" s="71"/>
      <c r="AN56" s="631"/>
      <c r="AR56" s="625"/>
      <c r="AS56" s="73"/>
      <c r="AT56" s="110"/>
      <c r="AU56" s="111"/>
      <c r="AV56" s="112"/>
      <c r="AW56" s="113"/>
      <c r="AX56" s="72"/>
      <c r="AY56" s="655"/>
      <c r="AZ56" s="628"/>
      <c r="BA56" s="628"/>
      <c r="BB56" s="633"/>
      <c r="BC56" s="72"/>
      <c r="BD56" s="110"/>
      <c r="BE56" s="111"/>
      <c r="BF56" s="112"/>
      <c r="BG56" s="113"/>
      <c r="BH56" s="71"/>
      <c r="BI56" s="631"/>
    </row>
    <row r="57" spans="1:62" ht="11.25" customHeight="1" thickBot="1">
      <c r="B57" s="639"/>
      <c r="C57" s="67"/>
      <c r="D57" s="68"/>
      <c r="E57" s="68"/>
      <c r="F57" s="68"/>
      <c r="G57" s="97"/>
      <c r="H57" s="70"/>
      <c r="I57" s="45"/>
      <c r="J57" s="629"/>
      <c r="K57" s="629"/>
      <c r="L57" s="45"/>
      <c r="M57" s="67"/>
      <c r="N57" s="68"/>
      <c r="O57" s="97"/>
      <c r="P57" s="68"/>
      <c r="Q57" s="68"/>
      <c r="R57" s="70"/>
      <c r="S57" s="640"/>
      <c r="W57" s="639"/>
      <c r="X57" s="67"/>
      <c r="Y57" s="68"/>
      <c r="Z57" s="68"/>
      <c r="AA57" s="68"/>
      <c r="AB57" s="97"/>
      <c r="AC57" s="70"/>
      <c r="AD57" s="45"/>
      <c r="AE57" s="629"/>
      <c r="AF57" s="629"/>
      <c r="AG57" s="45"/>
      <c r="AH57" s="67"/>
      <c r="AI57" s="68"/>
      <c r="AJ57" s="97"/>
      <c r="AK57" s="68"/>
      <c r="AL57" s="68"/>
      <c r="AM57" s="70"/>
      <c r="AN57" s="640"/>
      <c r="AR57" s="639"/>
      <c r="AS57" s="67"/>
      <c r="AT57" s="68"/>
      <c r="AU57" s="69"/>
      <c r="AV57" s="68"/>
      <c r="AW57" s="69"/>
      <c r="AX57" s="70"/>
      <c r="AY57" s="658"/>
      <c r="AZ57" s="629"/>
      <c r="BA57" s="629"/>
      <c r="BB57" s="639"/>
      <c r="BC57" s="67"/>
      <c r="BD57" s="68"/>
      <c r="BE57" s="69"/>
      <c r="BF57" s="68"/>
      <c r="BG57" s="69"/>
      <c r="BH57" s="70"/>
      <c r="BI57" s="640"/>
    </row>
    <row r="58" spans="1:62">
      <c r="B58" s="50"/>
      <c r="C58" s="49"/>
      <c r="G58" s="49"/>
      <c r="I58" s="50"/>
      <c r="L58" s="50"/>
      <c r="N58" s="49"/>
      <c r="O58" s="49"/>
      <c r="R58" s="49"/>
      <c r="W58" s="50"/>
      <c r="X58" s="49"/>
      <c r="AB58" s="49"/>
      <c r="AD58" s="50"/>
      <c r="AG58" s="50"/>
      <c r="AI58" s="49"/>
      <c r="AJ58" s="49"/>
      <c r="AM58" s="49"/>
      <c r="AR58" s="50"/>
      <c r="AS58" s="49"/>
      <c r="AT58" s="99"/>
      <c r="AU58" s="659"/>
      <c r="AV58" s="660"/>
      <c r="AW58" s="659"/>
      <c r="AX58" s="661"/>
      <c r="AY58" s="50"/>
      <c r="BB58" s="54"/>
      <c r="BC58" s="662"/>
      <c r="BD58" s="660"/>
      <c r="BE58" s="659"/>
      <c r="BF58" s="660"/>
      <c r="BH58" s="49"/>
    </row>
    <row r="59" spans="1:62" ht="15.75">
      <c r="D59" s="98"/>
      <c r="E59" s="98"/>
      <c r="F59" s="618" t="s">
        <v>177</v>
      </c>
      <c r="G59" s="618"/>
      <c r="H59" s="618"/>
      <c r="I59" s="618"/>
      <c r="J59" s="618"/>
      <c r="Y59" s="98"/>
      <c r="Z59" s="98"/>
      <c r="AA59" s="618" t="s">
        <v>177</v>
      </c>
      <c r="AB59" s="618"/>
      <c r="AC59" s="618"/>
      <c r="AD59" s="618"/>
      <c r="AE59" s="618"/>
      <c r="AT59" s="100"/>
      <c r="AV59" s="44"/>
      <c r="AX59" s="44"/>
      <c r="BB59" s="44"/>
      <c r="BE59" s="55"/>
      <c r="BF59" s="100"/>
    </row>
    <row r="61" spans="1:62" ht="15" customHeight="1">
      <c r="A61" s="619" t="s">
        <v>132</v>
      </c>
      <c r="B61" s="619"/>
      <c r="C61" s="619"/>
      <c r="D61" s="619"/>
      <c r="E61" s="619"/>
      <c r="F61" s="619"/>
      <c r="G61" s="619"/>
      <c r="H61" s="619"/>
      <c r="I61" s="619"/>
      <c r="J61" s="619"/>
      <c r="K61" s="619"/>
      <c r="L61" s="619"/>
      <c r="M61" s="619"/>
      <c r="N61" s="619"/>
      <c r="O61" s="619"/>
      <c r="P61" s="619"/>
      <c r="Q61" s="619"/>
      <c r="R61" s="619"/>
      <c r="S61" s="619"/>
      <c r="T61" s="619"/>
      <c r="V61" s="619" t="s">
        <v>132</v>
      </c>
      <c r="W61" s="619"/>
      <c r="X61" s="619"/>
      <c r="Y61" s="619"/>
      <c r="Z61" s="619"/>
      <c r="AA61" s="619"/>
      <c r="AB61" s="619"/>
      <c r="AC61" s="619"/>
      <c r="AD61" s="619"/>
      <c r="AE61" s="619"/>
      <c r="AF61" s="619"/>
      <c r="AG61" s="619"/>
      <c r="AH61" s="619"/>
      <c r="AI61" s="619"/>
      <c r="AJ61" s="619"/>
      <c r="AK61" s="619"/>
      <c r="AL61" s="619"/>
      <c r="AM61" s="619"/>
      <c r="AN61" s="619"/>
      <c r="AO61" s="619"/>
      <c r="AQ61" s="619" t="s">
        <v>132</v>
      </c>
      <c r="AR61" s="619"/>
      <c r="AS61" s="619"/>
      <c r="AT61" s="619"/>
      <c r="AU61" s="619"/>
      <c r="AV61" s="619"/>
      <c r="AW61" s="619"/>
      <c r="AX61" s="619"/>
      <c r="AY61" s="619"/>
      <c r="AZ61" s="619"/>
      <c r="BA61" s="619"/>
      <c r="BB61" s="619"/>
      <c r="BC61" s="619"/>
      <c r="BD61" s="619"/>
      <c r="BE61" s="619"/>
      <c r="BF61" s="619"/>
      <c r="BG61" s="619"/>
      <c r="BH61" s="619"/>
      <c r="BI61" s="619"/>
      <c r="BJ61" s="619"/>
    </row>
    <row r="62" spans="1:62" ht="15" customHeight="1">
      <c r="A62" s="619"/>
      <c r="B62" s="619"/>
      <c r="C62" s="619"/>
      <c r="D62" s="619"/>
      <c r="E62" s="619"/>
      <c r="F62" s="619"/>
      <c r="G62" s="619"/>
      <c r="H62" s="619"/>
      <c r="I62" s="619"/>
      <c r="J62" s="619"/>
      <c r="K62" s="619"/>
      <c r="L62" s="619"/>
      <c r="M62" s="619"/>
      <c r="N62" s="619"/>
      <c r="O62" s="619"/>
      <c r="P62" s="619"/>
      <c r="Q62" s="619"/>
      <c r="R62" s="619"/>
      <c r="S62" s="619"/>
      <c r="T62" s="619"/>
      <c r="V62" s="619"/>
      <c r="W62" s="619"/>
      <c r="X62" s="619"/>
      <c r="Y62" s="619"/>
      <c r="Z62" s="619"/>
      <c r="AA62" s="619"/>
      <c r="AB62" s="619"/>
      <c r="AC62" s="619"/>
      <c r="AD62" s="619"/>
      <c r="AE62" s="619"/>
      <c r="AF62" s="619"/>
      <c r="AG62" s="619"/>
      <c r="AH62" s="619"/>
      <c r="AI62" s="619"/>
      <c r="AJ62" s="619"/>
      <c r="AK62" s="619"/>
      <c r="AL62" s="619"/>
      <c r="AM62" s="619"/>
      <c r="AN62" s="619"/>
      <c r="AO62" s="619"/>
      <c r="AQ62" s="619"/>
      <c r="AR62" s="619"/>
      <c r="AS62" s="619"/>
      <c r="AT62" s="619"/>
      <c r="AU62" s="619"/>
      <c r="AV62" s="619"/>
      <c r="AW62" s="619"/>
      <c r="AX62" s="619"/>
      <c r="AY62" s="619"/>
      <c r="AZ62" s="619"/>
      <c r="BA62" s="619"/>
      <c r="BB62" s="619"/>
      <c r="BC62" s="619"/>
      <c r="BD62" s="619"/>
      <c r="BE62" s="619"/>
      <c r="BF62" s="619"/>
      <c r="BG62" s="619"/>
      <c r="BH62" s="619"/>
      <c r="BI62" s="619"/>
      <c r="BJ62" s="619"/>
    </row>
    <row r="63" spans="1:62" ht="15" customHeight="1">
      <c r="A63" s="619"/>
      <c r="B63" s="619"/>
      <c r="C63" s="619"/>
      <c r="D63" s="619"/>
      <c r="E63" s="619"/>
      <c r="F63" s="619"/>
      <c r="G63" s="619"/>
      <c r="H63" s="619"/>
      <c r="I63" s="619"/>
      <c r="J63" s="619"/>
      <c r="K63" s="619"/>
      <c r="L63" s="619"/>
      <c r="M63" s="619"/>
      <c r="N63" s="619"/>
      <c r="O63" s="619"/>
      <c r="P63" s="619"/>
      <c r="Q63" s="619"/>
      <c r="R63" s="619"/>
      <c r="S63" s="619"/>
      <c r="T63" s="619"/>
      <c r="V63" s="619"/>
      <c r="W63" s="619"/>
      <c r="X63" s="619"/>
      <c r="Y63" s="619"/>
      <c r="Z63" s="619"/>
      <c r="AA63" s="619"/>
      <c r="AB63" s="619"/>
      <c r="AC63" s="619"/>
      <c r="AD63" s="619"/>
      <c r="AE63" s="619"/>
      <c r="AF63" s="619"/>
      <c r="AG63" s="619"/>
      <c r="AH63" s="619"/>
      <c r="AI63" s="619"/>
      <c r="AJ63" s="619"/>
      <c r="AK63" s="619"/>
      <c r="AL63" s="619"/>
      <c r="AM63" s="619"/>
      <c r="AN63" s="619"/>
      <c r="AO63" s="619"/>
      <c r="AQ63" s="619"/>
      <c r="AR63" s="619"/>
      <c r="AS63" s="619"/>
      <c r="AT63" s="619"/>
      <c r="AU63" s="619"/>
      <c r="AV63" s="619"/>
      <c r="AW63" s="619"/>
      <c r="AX63" s="619"/>
      <c r="AY63" s="619"/>
      <c r="AZ63" s="619"/>
      <c r="BA63" s="619"/>
      <c r="BB63" s="619"/>
      <c r="BC63" s="619"/>
      <c r="BD63" s="619"/>
      <c r="BE63" s="619"/>
      <c r="BF63" s="619"/>
      <c r="BG63" s="619"/>
      <c r="BH63" s="619"/>
      <c r="BI63" s="619"/>
      <c r="BJ63" s="619"/>
    </row>
    <row r="65" spans="1:61">
      <c r="C65" s="620"/>
      <c r="D65" s="621"/>
      <c r="E65" s="621"/>
      <c r="F65" s="621"/>
      <c r="G65" s="621"/>
      <c r="H65" s="622"/>
      <c r="M65" s="620"/>
      <c r="N65" s="621"/>
      <c r="O65" s="621"/>
      <c r="P65" s="621"/>
      <c r="Q65" s="621"/>
      <c r="R65" s="622"/>
      <c r="X65" s="620"/>
      <c r="Y65" s="621"/>
      <c r="Z65" s="621"/>
      <c r="AA65" s="621"/>
      <c r="AB65" s="621"/>
      <c r="AC65" s="622"/>
      <c r="AH65" s="620"/>
      <c r="AI65" s="621"/>
      <c r="AJ65" s="621"/>
      <c r="AK65" s="621"/>
      <c r="AL65" s="621"/>
      <c r="AM65" s="622"/>
      <c r="AS65" s="620"/>
      <c r="AT65" s="621"/>
      <c r="AU65" s="621"/>
      <c r="AV65" s="621"/>
      <c r="AW65" s="621"/>
      <c r="AX65" s="622"/>
      <c r="BC65" s="620"/>
      <c r="BD65" s="621"/>
      <c r="BE65" s="621"/>
      <c r="BF65" s="621"/>
      <c r="BG65" s="621"/>
      <c r="BH65" s="622"/>
    </row>
    <row r="66" spans="1:61" ht="15.75" thickBot="1">
      <c r="B66" s="45"/>
      <c r="C66" s="46"/>
      <c r="D66" s="47"/>
      <c r="E66" s="47"/>
      <c r="F66" s="47"/>
      <c r="G66" s="47"/>
      <c r="H66" s="48"/>
      <c r="J66" s="45"/>
      <c r="K66" s="45"/>
      <c r="L66" s="45"/>
      <c r="M66" s="43"/>
      <c r="R66" s="44"/>
      <c r="S66" s="45"/>
      <c r="W66" s="45"/>
      <c r="X66" s="46"/>
      <c r="Y66" s="47"/>
      <c r="Z66" s="47"/>
      <c r="AA66" s="47"/>
      <c r="AB66" s="47"/>
      <c r="AC66" s="48"/>
      <c r="AE66" s="45"/>
      <c r="AF66" s="45"/>
      <c r="AG66" s="45"/>
      <c r="AH66" s="43"/>
      <c r="AM66" s="44"/>
      <c r="AN66" s="45"/>
      <c r="AR66" s="45"/>
      <c r="AS66" s="46"/>
      <c r="AT66" s="47"/>
      <c r="AU66" s="47"/>
      <c r="AV66" s="47"/>
      <c r="AW66" s="47"/>
      <c r="AX66" s="48"/>
      <c r="AZ66" s="45"/>
      <c r="BA66" s="45"/>
      <c r="BB66" s="45"/>
      <c r="BC66" s="43"/>
      <c r="BH66" s="44"/>
      <c r="BI66" s="45"/>
    </row>
    <row r="67" spans="1:61" ht="11.25" customHeight="1" thickBot="1">
      <c r="A67" s="623"/>
      <c r="B67" s="624"/>
      <c r="C67" s="64"/>
      <c r="D67" s="65"/>
      <c r="E67" s="65"/>
      <c r="F67" s="65"/>
      <c r="G67" s="65"/>
      <c r="H67" s="66"/>
      <c r="I67" s="50"/>
      <c r="J67" s="627"/>
      <c r="K67" s="627"/>
      <c r="M67" s="64"/>
      <c r="N67" s="65"/>
      <c r="O67" s="65"/>
      <c r="P67" s="65"/>
      <c r="Q67" s="65"/>
      <c r="R67" s="66"/>
      <c r="S67" s="630"/>
      <c r="T67" s="623"/>
      <c r="V67" s="623"/>
      <c r="W67" s="624"/>
      <c r="X67" s="64"/>
      <c r="Y67" s="65"/>
      <c r="Z67" s="65"/>
      <c r="AA67" s="65"/>
      <c r="AB67" s="65"/>
      <c r="AC67" s="66"/>
      <c r="AD67" s="50"/>
      <c r="AE67" s="627"/>
      <c r="AF67" s="627"/>
      <c r="AH67" s="64"/>
      <c r="AI67" s="65"/>
      <c r="AJ67" s="65"/>
      <c r="AK67" s="65"/>
      <c r="AL67" s="65"/>
      <c r="AM67" s="66"/>
      <c r="AN67" s="630"/>
      <c r="AO67" s="623"/>
      <c r="AR67" s="624"/>
      <c r="AS67" s="64"/>
      <c r="AT67" s="65"/>
      <c r="AU67" s="65"/>
      <c r="AV67" s="65"/>
      <c r="AW67" s="65"/>
      <c r="AX67" s="66"/>
      <c r="AY67" s="50"/>
      <c r="AZ67" s="627"/>
      <c r="BA67" s="627"/>
      <c r="BC67" s="64"/>
      <c r="BD67" s="65"/>
      <c r="BE67" s="65"/>
      <c r="BF67" s="65"/>
      <c r="BG67" s="65"/>
      <c r="BH67" s="66"/>
      <c r="BI67" s="630"/>
    </row>
    <row r="68" spans="1:61">
      <c r="A68" s="623"/>
      <c r="B68" s="625"/>
      <c r="C68" s="73"/>
      <c r="D68" s="56"/>
      <c r="E68" s="57"/>
      <c r="F68" s="57"/>
      <c r="G68" s="58"/>
      <c r="H68" s="71"/>
      <c r="J68" s="628"/>
      <c r="K68" s="628"/>
      <c r="M68" s="73"/>
      <c r="N68" s="56"/>
      <c r="O68" s="57"/>
      <c r="P68" s="57"/>
      <c r="Q68" s="58"/>
      <c r="R68" s="71"/>
      <c r="S68" s="631"/>
      <c r="T68" s="623"/>
      <c r="V68" s="623"/>
      <c r="W68" s="625"/>
      <c r="X68" s="73"/>
      <c r="Y68" s="56"/>
      <c r="Z68" s="57"/>
      <c r="AA68" s="57"/>
      <c r="AB68" s="58"/>
      <c r="AC68" s="71"/>
      <c r="AE68" s="628"/>
      <c r="AF68" s="628"/>
      <c r="AH68" s="73"/>
      <c r="AI68" s="56"/>
      <c r="AJ68" s="57"/>
      <c r="AK68" s="57"/>
      <c r="AL68" s="58"/>
      <c r="AM68" s="71"/>
      <c r="AN68" s="631"/>
      <c r="AO68" s="623"/>
      <c r="AR68" s="625"/>
      <c r="AS68" s="73"/>
      <c r="AT68" s="102"/>
      <c r="AU68" s="103"/>
      <c r="AV68" s="103"/>
      <c r="AW68" s="104"/>
      <c r="AX68" s="71"/>
      <c r="AZ68" s="628"/>
      <c r="BA68" s="628"/>
      <c r="BC68" s="73"/>
      <c r="BD68" s="102"/>
      <c r="BE68" s="103"/>
      <c r="BF68" s="103"/>
      <c r="BG68" s="104"/>
      <c r="BH68" s="71"/>
      <c r="BI68" s="631"/>
    </row>
    <row r="69" spans="1:61">
      <c r="A69" s="623"/>
      <c r="B69" s="626"/>
      <c r="C69" s="73"/>
      <c r="D69" s="59"/>
      <c r="E69" s="60"/>
      <c r="F69" s="60"/>
      <c r="G69" s="61"/>
      <c r="H69" s="71"/>
      <c r="J69" s="628"/>
      <c r="K69" s="628"/>
      <c r="M69" s="73"/>
      <c r="N69" s="59"/>
      <c r="O69" s="60"/>
      <c r="P69" s="60"/>
      <c r="Q69" s="61"/>
      <c r="R69" s="71"/>
      <c r="S69" s="632"/>
      <c r="T69" s="623"/>
      <c r="V69" s="623"/>
      <c r="W69" s="626"/>
      <c r="X69" s="73"/>
      <c r="Y69" s="59"/>
      <c r="Z69" s="60"/>
      <c r="AA69" s="60"/>
      <c r="AB69" s="61"/>
      <c r="AC69" s="71"/>
      <c r="AE69" s="628"/>
      <c r="AF69" s="628"/>
      <c r="AH69" s="73"/>
      <c r="AI69" s="59"/>
      <c r="AJ69" s="60"/>
      <c r="AK69" s="60"/>
      <c r="AL69" s="61"/>
      <c r="AM69" s="71"/>
      <c r="AN69" s="632"/>
      <c r="AO69" s="623"/>
      <c r="AR69" s="626"/>
      <c r="AS69" s="73"/>
      <c r="AT69" s="105"/>
      <c r="AU69" s="106"/>
      <c r="AV69" s="106"/>
      <c r="AW69" s="107"/>
      <c r="AX69" s="71"/>
      <c r="AZ69" s="628"/>
      <c r="BA69" s="628"/>
      <c r="BC69" s="73"/>
      <c r="BD69" s="105"/>
      <c r="BE69" s="106"/>
      <c r="BF69" s="106"/>
      <c r="BG69" s="107"/>
      <c r="BH69" s="71"/>
      <c r="BI69" s="632"/>
    </row>
    <row r="70" spans="1:61" ht="15" customHeight="1">
      <c r="A70" s="623"/>
      <c r="B70" s="633"/>
      <c r="C70" s="73"/>
      <c r="D70" s="59"/>
      <c r="E70" s="60"/>
      <c r="F70" s="60"/>
      <c r="G70" s="61"/>
      <c r="H70" s="71"/>
      <c r="J70" s="628"/>
      <c r="K70" s="628"/>
      <c r="M70" s="73"/>
      <c r="N70" s="59"/>
      <c r="O70" s="60"/>
      <c r="P70" s="60"/>
      <c r="Q70" s="61"/>
      <c r="R70" s="71"/>
      <c r="S70" s="634"/>
      <c r="T70" s="623"/>
      <c r="V70" s="623"/>
      <c r="W70" s="633"/>
      <c r="X70" s="73"/>
      <c r="Y70" s="59"/>
      <c r="Z70" s="60"/>
      <c r="AA70" s="60"/>
      <c r="AB70" s="61"/>
      <c r="AC70" s="71"/>
      <c r="AE70" s="628"/>
      <c r="AF70" s="628"/>
      <c r="AH70" s="73"/>
      <c r="AI70" s="59"/>
      <c r="AJ70" s="60"/>
      <c r="AK70" s="60"/>
      <c r="AL70" s="61"/>
      <c r="AM70" s="71"/>
      <c r="AN70" s="634"/>
      <c r="AO70" s="623"/>
      <c r="AR70" s="633"/>
      <c r="AS70" s="73"/>
      <c r="AT70" s="105"/>
      <c r="AU70" s="106"/>
      <c r="AV70" s="106"/>
      <c r="AW70" s="107"/>
      <c r="AX70" s="71"/>
      <c r="AZ70" s="628"/>
      <c r="BA70" s="628"/>
      <c r="BC70" s="73"/>
      <c r="BD70" s="105"/>
      <c r="BE70" s="106"/>
      <c r="BF70" s="106"/>
      <c r="BG70" s="107"/>
      <c r="BH70" s="71"/>
      <c r="BI70" s="634"/>
    </row>
    <row r="71" spans="1:61">
      <c r="A71" s="623"/>
      <c r="B71" s="625"/>
      <c r="C71" s="73"/>
      <c r="D71" s="59"/>
      <c r="E71" s="60"/>
      <c r="F71" s="60"/>
      <c r="G71" s="61"/>
      <c r="H71" s="71"/>
      <c r="J71" s="628"/>
      <c r="K71" s="628"/>
      <c r="M71" s="73"/>
      <c r="N71" s="59"/>
      <c r="O71" s="60"/>
      <c r="P71" s="60"/>
      <c r="Q71" s="61"/>
      <c r="R71" s="71"/>
      <c r="S71" s="631"/>
      <c r="T71" s="623"/>
      <c r="V71" s="623"/>
      <c r="W71" s="625"/>
      <c r="X71" s="73"/>
      <c r="Y71" s="59"/>
      <c r="Z71" s="60"/>
      <c r="AA71" s="60"/>
      <c r="AB71" s="61"/>
      <c r="AC71" s="71"/>
      <c r="AE71" s="628"/>
      <c r="AF71" s="628"/>
      <c r="AH71" s="73"/>
      <c r="AI71" s="59"/>
      <c r="AJ71" s="60"/>
      <c r="AK71" s="60"/>
      <c r="AL71" s="61"/>
      <c r="AM71" s="71"/>
      <c r="AN71" s="631"/>
      <c r="AO71" s="623"/>
      <c r="AR71" s="625"/>
      <c r="AS71" s="73"/>
      <c r="AT71" s="105"/>
      <c r="AU71" s="106"/>
      <c r="AV71" s="106"/>
      <c r="AW71" s="107"/>
      <c r="AX71" s="71"/>
      <c r="AZ71" s="628"/>
      <c r="BA71" s="628"/>
      <c r="BC71" s="73"/>
      <c r="BD71" s="105"/>
      <c r="BE71" s="106"/>
      <c r="BF71" s="106"/>
      <c r="BG71" s="107"/>
      <c r="BH71" s="71"/>
      <c r="BI71" s="631"/>
    </row>
    <row r="72" spans="1:61">
      <c r="A72" s="623"/>
      <c r="B72" s="625"/>
      <c r="C72" s="73"/>
      <c r="D72" s="59"/>
      <c r="E72" s="60"/>
      <c r="F72" s="60"/>
      <c r="G72" s="61"/>
      <c r="H72" s="71"/>
      <c r="J72" s="628"/>
      <c r="K72" s="628"/>
      <c r="M72" s="73"/>
      <c r="N72" s="59"/>
      <c r="O72" s="60"/>
      <c r="P72" s="60"/>
      <c r="Q72" s="61"/>
      <c r="R72" s="71"/>
      <c r="S72" s="631"/>
      <c r="T72" s="623"/>
      <c r="V72" s="623"/>
      <c r="W72" s="625"/>
      <c r="X72" s="73"/>
      <c r="Y72" s="59"/>
      <c r="Z72" s="60"/>
      <c r="AA72" s="60"/>
      <c r="AB72" s="61"/>
      <c r="AC72" s="71"/>
      <c r="AE72" s="628"/>
      <c r="AF72" s="628"/>
      <c r="AH72" s="73"/>
      <c r="AI72" s="59"/>
      <c r="AJ72" s="60"/>
      <c r="AK72" s="60"/>
      <c r="AL72" s="61"/>
      <c r="AM72" s="71"/>
      <c r="AN72" s="631"/>
      <c r="AO72" s="623"/>
      <c r="AR72" s="625"/>
      <c r="AS72" s="73"/>
      <c r="AT72" s="105"/>
      <c r="AU72" s="106"/>
      <c r="AV72" s="106"/>
      <c r="AW72" s="107"/>
      <c r="AX72" s="71"/>
      <c r="AZ72" s="628"/>
      <c r="BA72" s="628"/>
      <c r="BC72" s="73"/>
      <c r="BD72" s="105"/>
      <c r="BE72" s="106"/>
      <c r="BF72" s="106"/>
      <c r="BG72" s="107"/>
      <c r="BH72" s="71"/>
      <c r="BI72" s="631"/>
    </row>
    <row r="73" spans="1:61">
      <c r="A73" s="623"/>
      <c r="B73" s="626"/>
      <c r="C73" s="73"/>
      <c r="D73" s="59"/>
      <c r="E73" s="60"/>
      <c r="F73" s="60"/>
      <c r="G73" s="61"/>
      <c r="H73" s="71"/>
      <c r="J73" s="628"/>
      <c r="K73" s="628"/>
      <c r="M73" s="73"/>
      <c r="N73" s="59"/>
      <c r="O73" s="60"/>
      <c r="P73" s="60"/>
      <c r="Q73" s="61"/>
      <c r="R73" s="71"/>
      <c r="S73" s="632"/>
      <c r="T73" s="623"/>
      <c r="V73" s="623"/>
      <c r="W73" s="626"/>
      <c r="X73" s="73"/>
      <c r="Y73" s="59"/>
      <c r="Z73" s="60"/>
      <c r="AA73" s="60"/>
      <c r="AB73" s="61"/>
      <c r="AC73" s="71"/>
      <c r="AE73" s="628"/>
      <c r="AF73" s="628"/>
      <c r="AH73" s="73"/>
      <c r="AI73" s="59"/>
      <c r="AJ73" s="60"/>
      <c r="AK73" s="60"/>
      <c r="AL73" s="61"/>
      <c r="AM73" s="71"/>
      <c r="AN73" s="632"/>
      <c r="AO73" s="623"/>
      <c r="AR73" s="626"/>
      <c r="AS73" s="73"/>
      <c r="AT73" s="105"/>
      <c r="AU73" s="106"/>
      <c r="AV73" s="106"/>
      <c r="AW73" s="107"/>
      <c r="AX73" s="71"/>
      <c r="AZ73" s="628"/>
      <c r="BA73" s="628"/>
      <c r="BC73" s="73"/>
      <c r="BD73" s="105"/>
      <c r="BE73" s="106"/>
      <c r="BF73" s="106"/>
      <c r="BG73" s="107"/>
      <c r="BH73" s="71"/>
      <c r="BI73" s="632"/>
    </row>
    <row r="74" spans="1:61">
      <c r="A74" s="623"/>
      <c r="B74" s="641"/>
      <c r="C74" s="73"/>
      <c r="D74" s="59"/>
      <c r="E74" s="60"/>
      <c r="F74" s="60"/>
      <c r="G74" s="61"/>
      <c r="H74" s="71"/>
      <c r="J74" s="628"/>
      <c r="K74" s="628"/>
      <c r="M74" s="73"/>
      <c r="N74" s="59"/>
      <c r="O74" s="60"/>
      <c r="P74" s="60"/>
      <c r="Q74" s="61"/>
      <c r="R74" s="71"/>
      <c r="S74" s="644"/>
      <c r="T74" s="623"/>
      <c r="V74" s="623"/>
      <c r="W74" s="641"/>
      <c r="X74" s="73"/>
      <c r="Y74" s="59"/>
      <c r="Z74" s="60"/>
      <c r="AA74" s="60"/>
      <c r="AB74" s="61"/>
      <c r="AC74" s="71"/>
      <c r="AE74" s="628"/>
      <c r="AF74" s="628"/>
      <c r="AH74" s="73"/>
      <c r="AI74" s="59"/>
      <c r="AJ74" s="60"/>
      <c r="AK74" s="60"/>
      <c r="AL74" s="61"/>
      <c r="AM74" s="71"/>
      <c r="AN74" s="652"/>
      <c r="AO74" s="623"/>
      <c r="AR74" s="53"/>
      <c r="AS74" s="73"/>
      <c r="AT74" s="105"/>
      <c r="AU74" s="106"/>
      <c r="AV74" s="106"/>
      <c r="AW74" s="107"/>
      <c r="AX74" s="71"/>
      <c r="AZ74" s="628"/>
      <c r="BA74" s="628"/>
      <c r="BC74" s="73"/>
      <c r="BD74" s="105"/>
      <c r="BE74" s="106"/>
      <c r="BF74" s="106"/>
      <c r="BG74" s="107"/>
      <c r="BH74" s="71"/>
      <c r="BI74" s="85"/>
    </row>
    <row r="75" spans="1:61">
      <c r="A75" s="623"/>
      <c r="B75" s="642"/>
      <c r="C75" s="73"/>
      <c r="D75" s="59"/>
      <c r="E75" s="60"/>
      <c r="F75" s="60"/>
      <c r="G75" s="61"/>
      <c r="H75" s="71"/>
      <c r="J75" s="628"/>
      <c r="K75" s="628"/>
      <c r="M75" s="73"/>
      <c r="N75" s="59"/>
      <c r="O75" s="60"/>
      <c r="P75" s="60"/>
      <c r="Q75" s="61"/>
      <c r="R75" s="71"/>
      <c r="S75" s="645"/>
      <c r="T75" s="623"/>
      <c r="V75" s="623"/>
      <c r="W75" s="642"/>
      <c r="X75" s="73"/>
      <c r="Y75" s="59"/>
      <c r="Z75" s="60"/>
      <c r="AA75" s="60"/>
      <c r="AB75" s="61"/>
      <c r="AC75" s="71"/>
      <c r="AE75" s="628"/>
      <c r="AF75" s="628"/>
      <c r="AH75" s="73"/>
      <c r="AI75" s="59"/>
      <c r="AJ75" s="60"/>
      <c r="AK75" s="60"/>
      <c r="AL75" s="61"/>
      <c r="AM75" s="71"/>
      <c r="AN75" s="653"/>
      <c r="AO75" s="623"/>
      <c r="AS75" s="73"/>
      <c r="AT75" s="105"/>
      <c r="AU75" s="106"/>
      <c r="AV75" s="106"/>
      <c r="AW75" s="107"/>
      <c r="AX75" s="71"/>
      <c r="AZ75" s="628"/>
      <c r="BA75" s="628"/>
      <c r="BC75" s="73"/>
      <c r="BD75" s="105"/>
      <c r="BE75" s="106"/>
      <c r="BF75" s="106"/>
      <c r="BG75" s="107"/>
      <c r="BH75" s="71"/>
    </row>
    <row r="76" spans="1:61">
      <c r="A76" s="623"/>
      <c r="B76" s="642"/>
      <c r="C76" s="73"/>
      <c r="D76" s="59"/>
      <c r="E76" s="60"/>
      <c r="F76" s="60"/>
      <c r="G76" s="61"/>
      <c r="H76" s="71"/>
      <c r="J76" s="628"/>
      <c r="K76" s="628"/>
      <c r="M76" s="73"/>
      <c r="N76" s="59"/>
      <c r="O76" s="60"/>
      <c r="P76" s="60"/>
      <c r="Q76" s="61"/>
      <c r="R76" s="71"/>
      <c r="S76" s="645"/>
      <c r="T76" s="623"/>
      <c r="V76" s="623"/>
      <c r="W76" s="642"/>
      <c r="X76" s="73"/>
      <c r="Y76" s="59"/>
      <c r="Z76" s="60"/>
      <c r="AA76" s="60"/>
      <c r="AB76" s="61"/>
      <c r="AC76" s="71"/>
      <c r="AE76" s="628"/>
      <c r="AF76" s="628"/>
      <c r="AH76" s="73"/>
      <c r="AI76" s="59"/>
      <c r="AJ76" s="60"/>
      <c r="AK76" s="60"/>
      <c r="AL76" s="61"/>
      <c r="AM76" s="71"/>
      <c r="AN76" s="653"/>
      <c r="AO76" s="623"/>
      <c r="AR76" s="86"/>
      <c r="AS76" s="73"/>
      <c r="AT76" s="105"/>
      <c r="AU76" s="106"/>
      <c r="AV76" s="106"/>
      <c r="AW76" s="107"/>
      <c r="AX76" s="71"/>
      <c r="AZ76" s="628"/>
      <c r="BA76" s="628"/>
      <c r="BC76" s="73"/>
      <c r="BD76" s="105"/>
      <c r="BE76" s="106"/>
      <c r="BF76" s="106"/>
      <c r="BG76" s="107"/>
      <c r="BH76" s="71"/>
      <c r="BI76" s="85"/>
    </row>
    <row r="77" spans="1:61">
      <c r="A77" s="623"/>
      <c r="B77" s="642"/>
      <c r="C77" s="73"/>
      <c r="D77" s="59"/>
      <c r="E77" s="60"/>
      <c r="F77" s="60"/>
      <c r="G77" s="61"/>
      <c r="H77" s="71"/>
      <c r="J77" s="628"/>
      <c r="K77" s="628"/>
      <c r="M77" s="73"/>
      <c r="N77" s="59"/>
      <c r="O77" s="60"/>
      <c r="P77" s="60"/>
      <c r="Q77" s="61"/>
      <c r="R77" s="71"/>
      <c r="S77" s="645"/>
      <c r="T77" s="623"/>
      <c r="V77" s="623"/>
      <c r="W77" s="642"/>
      <c r="X77" s="73"/>
      <c r="Y77" s="59"/>
      <c r="Z77" s="60"/>
      <c r="AA77" s="60"/>
      <c r="AB77" s="61"/>
      <c r="AC77" s="71"/>
      <c r="AE77" s="628"/>
      <c r="AF77" s="628"/>
      <c r="AH77" s="73"/>
      <c r="AI77" s="59"/>
      <c r="AJ77" s="60"/>
      <c r="AK77" s="60"/>
      <c r="AL77" s="61"/>
      <c r="AM77" s="71"/>
      <c r="AN77" s="653"/>
      <c r="AO77" s="623"/>
      <c r="AR77" s="121"/>
      <c r="AS77" s="73"/>
      <c r="AT77" s="105"/>
      <c r="AU77" s="106"/>
      <c r="AV77" s="106"/>
      <c r="AW77" s="107"/>
      <c r="AX77" s="71"/>
      <c r="AZ77" s="628"/>
      <c r="BA77" s="628"/>
      <c r="BC77" s="73"/>
      <c r="BD77" s="105"/>
      <c r="BE77" s="106"/>
      <c r="BF77" s="106"/>
      <c r="BG77" s="107"/>
      <c r="BH77" s="71"/>
      <c r="BI77" s="122"/>
    </row>
    <row r="78" spans="1:61">
      <c r="A78" s="623"/>
      <c r="B78" s="642"/>
      <c r="C78" s="73"/>
      <c r="D78" s="59"/>
      <c r="E78" s="60"/>
      <c r="F78" s="60"/>
      <c r="G78" s="61"/>
      <c r="H78" s="71"/>
      <c r="J78" s="628"/>
      <c r="K78" s="628"/>
      <c r="M78" s="73"/>
      <c r="N78" s="59"/>
      <c r="O78" s="60"/>
      <c r="P78" s="60"/>
      <c r="Q78" s="61"/>
      <c r="R78" s="71"/>
      <c r="S78" s="645"/>
      <c r="T78" s="623"/>
      <c r="V78" s="623"/>
      <c r="W78" s="642"/>
      <c r="X78" s="73"/>
      <c r="Y78" s="59"/>
      <c r="Z78" s="60"/>
      <c r="AA78" s="60"/>
      <c r="AB78" s="61"/>
      <c r="AC78" s="71"/>
      <c r="AE78" s="628"/>
      <c r="AF78" s="628"/>
      <c r="AH78" s="73"/>
      <c r="AI78" s="59"/>
      <c r="AJ78" s="60"/>
      <c r="AK78" s="60"/>
      <c r="AL78" s="61"/>
      <c r="AM78" s="71"/>
      <c r="AN78" s="653"/>
      <c r="AO78" s="623"/>
      <c r="AR78" s="121"/>
      <c r="AS78" s="73"/>
      <c r="AT78" s="105"/>
      <c r="AU78" s="106"/>
      <c r="AV78" s="106"/>
      <c r="AW78" s="107"/>
      <c r="AX78" s="71"/>
      <c r="AZ78" s="628"/>
      <c r="BA78" s="628"/>
      <c r="BC78" s="73"/>
      <c r="BD78" s="105"/>
      <c r="BE78" s="106"/>
      <c r="BF78" s="106"/>
      <c r="BG78" s="107"/>
      <c r="BH78" s="71"/>
      <c r="BI78" s="122"/>
    </row>
    <row r="79" spans="1:61">
      <c r="A79" s="623"/>
      <c r="B79" s="642"/>
      <c r="C79" s="73"/>
      <c r="D79" s="59"/>
      <c r="E79" s="60"/>
      <c r="F79" s="60"/>
      <c r="G79" s="61"/>
      <c r="H79" s="71"/>
      <c r="I79" s="85"/>
      <c r="J79" s="628"/>
      <c r="K79" s="628"/>
      <c r="L79" s="86"/>
      <c r="M79" s="73"/>
      <c r="N79" s="59"/>
      <c r="O79" s="60"/>
      <c r="P79" s="60"/>
      <c r="Q79" s="61"/>
      <c r="R79" s="71"/>
      <c r="S79" s="645"/>
      <c r="T79" s="623"/>
      <c r="V79" s="623"/>
      <c r="W79" s="642"/>
      <c r="X79" s="73"/>
      <c r="Y79" s="59"/>
      <c r="Z79" s="60"/>
      <c r="AA79" s="60"/>
      <c r="AB79" s="61"/>
      <c r="AC79" s="71"/>
      <c r="AD79" s="45"/>
      <c r="AE79" s="628"/>
      <c r="AF79" s="628"/>
      <c r="AG79" s="45"/>
      <c r="AH79" s="73"/>
      <c r="AI79" s="59"/>
      <c r="AJ79" s="60"/>
      <c r="AK79" s="60"/>
      <c r="AL79" s="61"/>
      <c r="AM79" s="71"/>
      <c r="AN79" s="653"/>
      <c r="AO79" s="623"/>
      <c r="AR79" s="121"/>
      <c r="AS79" s="73"/>
      <c r="AT79" s="105"/>
      <c r="AU79" s="106"/>
      <c r="AV79" s="106"/>
      <c r="AW79" s="107"/>
      <c r="AX79" s="71"/>
      <c r="AZ79" s="628"/>
      <c r="BA79" s="628"/>
      <c r="BC79" s="73"/>
      <c r="BD79" s="105"/>
      <c r="BE79" s="106"/>
      <c r="BF79" s="106"/>
      <c r="BG79" s="107"/>
      <c r="BH79" s="71"/>
      <c r="BI79" s="122"/>
    </row>
    <row r="80" spans="1:61">
      <c r="A80" s="623"/>
      <c r="B80" s="643"/>
      <c r="C80" s="73"/>
      <c r="D80" s="59"/>
      <c r="E80" s="60"/>
      <c r="F80" s="60"/>
      <c r="G80" s="61"/>
      <c r="H80" s="71"/>
      <c r="J80" s="628"/>
      <c r="K80" s="628"/>
      <c r="M80" s="73"/>
      <c r="N80" s="59"/>
      <c r="O80" s="60"/>
      <c r="P80" s="60"/>
      <c r="Q80" s="61"/>
      <c r="R80" s="71"/>
      <c r="S80" s="646"/>
      <c r="T80" s="623"/>
      <c r="V80" s="623"/>
      <c r="W80" s="643"/>
      <c r="X80" s="73"/>
      <c r="Y80" s="59"/>
      <c r="Z80" s="60"/>
      <c r="AA80" s="60"/>
      <c r="AB80" s="61"/>
      <c r="AC80" s="71"/>
      <c r="AE80" s="628"/>
      <c r="AF80" s="628"/>
      <c r="AH80" s="73"/>
      <c r="AI80" s="59"/>
      <c r="AJ80" s="60"/>
      <c r="AK80" s="60"/>
      <c r="AL80" s="61"/>
      <c r="AM80" s="71"/>
      <c r="AN80" s="654"/>
      <c r="AO80" s="623"/>
      <c r="AR80" s="121"/>
      <c r="AS80" s="73"/>
      <c r="AT80" s="105"/>
      <c r="AU80" s="106"/>
      <c r="AV80" s="106"/>
      <c r="AW80" s="107"/>
      <c r="AX80" s="71"/>
      <c r="AZ80" s="628"/>
      <c r="BA80" s="628"/>
      <c r="BC80" s="73"/>
      <c r="BD80" s="105"/>
      <c r="BE80" s="106"/>
      <c r="BF80" s="106"/>
      <c r="BG80" s="107"/>
      <c r="BH80" s="71"/>
      <c r="BI80" s="123"/>
    </row>
    <row r="81" spans="1:62">
      <c r="A81" s="623"/>
      <c r="B81" s="633"/>
      <c r="C81" s="73"/>
      <c r="D81" s="59"/>
      <c r="E81" s="635"/>
      <c r="F81" s="635"/>
      <c r="G81" s="61"/>
      <c r="H81" s="71"/>
      <c r="J81" s="628"/>
      <c r="K81" s="628"/>
      <c r="M81" s="73"/>
      <c r="N81" s="59"/>
      <c r="O81" s="636"/>
      <c r="P81" s="636"/>
      <c r="Q81" s="61"/>
      <c r="R81" s="71"/>
      <c r="S81" s="634"/>
      <c r="T81" s="623"/>
      <c r="V81" s="623"/>
      <c r="W81" s="633"/>
      <c r="X81" s="73"/>
      <c r="Y81" s="59"/>
      <c r="Z81" s="635"/>
      <c r="AA81" s="635"/>
      <c r="AB81" s="61"/>
      <c r="AC81" s="71"/>
      <c r="AE81" s="628"/>
      <c r="AF81" s="628"/>
      <c r="AH81" s="73"/>
      <c r="AI81" s="59"/>
      <c r="AJ81" s="636"/>
      <c r="AK81" s="636"/>
      <c r="AL81" s="61"/>
      <c r="AM81" s="71"/>
      <c r="AN81" s="634"/>
      <c r="AO81" s="623"/>
      <c r="AR81" s="633"/>
      <c r="AS81" s="73"/>
      <c r="AT81" s="105"/>
      <c r="AU81" s="114" t="s">
        <v>131</v>
      </c>
      <c r="AV81" s="119"/>
      <c r="AW81" s="107"/>
      <c r="AX81" s="71"/>
      <c r="AZ81" s="628"/>
      <c r="BA81" s="628"/>
      <c r="BC81" s="73"/>
      <c r="BD81" s="105"/>
      <c r="BE81" s="108" t="s">
        <v>131</v>
      </c>
      <c r="BF81" s="119"/>
      <c r="BG81" s="107"/>
      <c r="BH81" s="71"/>
      <c r="BI81" s="634"/>
    </row>
    <row r="82" spans="1:62">
      <c r="A82" s="623"/>
      <c r="B82" s="625"/>
      <c r="C82" s="73"/>
      <c r="D82" s="59"/>
      <c r="E82" s="60"/>
      <c r="F82" s="60"/>
      <c r="G82" s="61"/>
      <c r="H82" s="71"/>
      <c r="I82" s="637"/>
      <c r="J82" s="628"/>
      <c r="K82" s="628"/>
      <c r="L82" s="638"/>
      <c r="M82" s="73"/>
      <c r="N82" s="59"/>
      <c r="O82" s="60"/>
      <c r="P82" s="60"/>
      <c r="Q82" s="61"/>
      <c r="R82" s="71"/>
      <c r="S82" s="631"/>
      <c r="T82" s="623"/>
      <c r="V82" s="623"/>
      <c r="W82" s="625"/>
      <c r="X82" s="73"/>
      <c r="Y82" s="59"/>
      <c r="Z82" s="60"/>
      <c r="AA82" s="60"/>
      <c r="AB82" s="61"/>
      <c r="AC82" s="71"/>
      <c r="AD82" s="637"/>
      <c r="AE82" s="628"/>
      <c r="AF82" s="628"/>
      <c r="AG82" s="638"/>
      <c r="AH82" s="73"/>
      <c r="AI82" s="59"/>
      <c r="AJ82" s="60"/>
      <c r="AK82" s="60"/>
      <c r="AL82" s="61"/>
      <c r="AM82" s="71"/>
      <c r="AN82" s="631"/>
      <c r="AO82" s="623"/>
      <c r="AR82" s="625"/>
      <c r="AS82" s="73"/>
      <c r="AT82" s="105"/>
      <c r="AU82" s="106"/>
      <c r="AV82" s="106"/>
      <c r="AW82" s="107"/>
      <c r="AX82" s="71"/>
      <c r="AY82" s="52"/>
      <c r="AZ82" s="628"/>
      <c r="BA82" s="628"/>
      <c r="BB82" s="51"/>
      <c r="BC82" s="101"/>
      <c r="BD82" s="109"/>
      <c r="BE82" s="106"/>
      <c r="BF82" s="106"/>
      <c r="BG82" s="107"/>
      <c r="BH82" s="71"/>
      <c r="BI82" s="631"/>
    </row>
    <row r="83" spans="1:62">
      <c r="A83" s="623"/>
      <c r="B83" s="625"/>
      <c r="C83" s="73"/>
      <c r="D83" s="59"/>
      <c r="E83" s="60"/>
      <c r="F83" s="60"/>
      <c r="G83" s="61"/>
      <c r="H83" s="71"/>
      <c r="I83" s="637"/>
      <c r="J83" s="628"/>
      <c r="K83" s="628"/>
      <c r="L83" s="638"/>
      <c r="M83" s="73"/>
      <c r="N83" s="59"/>
      <c r="O83" s="60"/>
      <c r="P83" s="60"/>
      <c r="Q83" s="61"/>
      <c r="R83" s="71"/>
      <c r="S83" s="631"/>
      <c r="T83" s="623"/>
      <c r="V83" s="623"/>
      <c r="W83" s="625"/>
      <c r="X83" s="73"/>
      <c r="Y83" s="59"/>
      <c r="Z83" s="60"/>
      <c r="AA83" s="60"/>
      <c r="AB83" s="61"/>
      <c r="AC83" s="71"/>
      <c r="AD83" s="637"/>
      <c r="AE83" s="628"/>
      <c r="AF83" s="628"/>
      <c r="AG83" s="638"/>
      <c r="AH83" s="73"/>
      <c r="AI83" s="59"/>
      <c r="AJ83" s="60"/>
      <c r="AK83" s="60"/>
      <c r="AL83" s="61"/>
      <c r="AM83" s="71"/>
      <c r="AN83" s="631"/>
      <c r="AO83" s="623"/>
      <c r="AR83" s="625"/>
      <c r="AS83" s="73"/>
      <c r="AT83" s="117"/>
      <c r="AU83" s="106"/>
      <c r="AV83" s="118"/>
      <c r="AW83" s="115"/>
      <c r="AX83" s="72"/>
      <c r="AY83" s="655"/>
      <c r="AZ83" s="628"/>
      <c r="BA83" s="628"/>
      <c r="BB83" s="633"/>
      <c r="BC83" s="73"/>
      <c r="BD83" s="105"/>
      <c r="BE83" s="118"/>
      <c r="BF83" s="106"/>
      <c r="BG83" s="107"/>
      <c r="BH83" s="71"/>
      <c r="BI83" s="631"/>
    </row>
    <row r="84" spans="1:62">
      <c r="A84" s="623"/>
      <c r="B84" s="626"/>
      <c r="C84" s="73"/>
      <c r="D84" s="59"/>
      <c r="E84" s="60"/>
      <c r="F84" s="60"/>
      <c r="G84" s="61"/>
      <c r="H84" s="71"/>
      <c r="I84" s="637"/>
      <c r="J84" s="628"/>
      <c r="K84" s="628"/>
      <c r="L84" s="638"/>
      <c r="M84" s="73"/>
      <c r="N84" s="59"/>
      <c r="O84" s="60"/>
      <c r="P84" s="60"/>
      <c r="Q84" s="61"/>
      <c r="R84" s="71"/>
      <c r="S84" s="632"/>
      <c r="T84" s="623"/>
      <c r="V84" s="623"/>
      <c r="W84" s="626"/>
      <c r="X84" s="73"/>
      <c r="Y84" s="59"/>
      <c r="Z84" s="60"/>
      <c r="AA84" s="60"/>
      <c r="AB84" s="61"/>
      <c r="AC84" s="71"/>
      <c r="AD84" s="637"/>
      <c r="AE84" s="628"/>
      <c r="AF84" s="628"/>
      <c r="AG84" s="638"/>
      <c r="AH84" s="73"/>
      <c r="AI84" s="59"/>
      <c r="AJ84" s="60"/>
      <c r="AK84" s="60"/>
      <c r="AL84" s="61"/>
      <c r="AM84" s="71"/>
      <c r="AN84" s="632"/>
      <c r="AO84" s="623"/>
      <c r="AR84" s="626"/>
      <c r="AS84" s="73"/>
      <c r="AT84" s="105"/>
      <c r="AU84" s="108" t="s">
        <v>131</v>
      </c>
      <c r="AV84" s="120"/>
      <c r="AW84" s="107"/>
      <c r="AX84" s="71"/>
      <c r="AY84" s="656"/>
      <c r="AZ84" s="628"/>
      <c r="BA84" s="628"/>
      <c r="BB84" s="625"/>
      <c r="BC84" s="73"/>
      <c r="BD84" s="105"/>
      <c r="BE84" s="108" t="s">
        <v>131</v>
      </c>
      <c r="BF84" s="119"/>
      <c r="BG84" s="107"/>
      <c r="BH84" s="71"/>
      <c r="BI84" s="632"/>
    </row>
    <row r="85" spans="1:62">
      <c r="A85" s="623"/>
      <c r="B85" s="633"/>
      <c r="C85" s="73"/>
      <c r="D85" s="59"/>
      <c r="E85" s="60"/>
      <c r="F85" s="60"/>
      <c r="G85" s="61"/>
      <c r="H85" s="95"/>
      <c r="I85" s="85"/>
      <c r="J85" s="628"/>
      <c r="K85" s="628"/>
      <c r="M85" s="73"/>
      <c r="N85" s="59"/>
      <c r="O85" s="60"/>
      <c r="P85" s="60"/>
      <c r="Q85" s="61"/>
      <c r="R85" s="71"/>
      <c r="S85" s="634"/>
      <c r="T85" s="623"/>
      <c r="V85" s="623"/>
      <c r="W85" s="633"/>
      <c r="X85" s="73"/>
      <c r="Y85" s="59"/>
      <c r="Z85" s="60"/>
      <c r="AA85" s="60"/>
      <c r="AB85" s="61"/>
      <c r="AC85" s="95"/>
      <c r="AD85" s="85"/>
      <c r="AE85" s="628"/>
      <c r="AF85" s="628"/>
      <c r="AH85" s="73"/>
      <c r="AI85" s="59"/>
      <c r="AJ85" s="60"/>
      <c r="AK85" s="60"/>
      <c r="AL85" s="61"/>
      <c r="AM85" s="71"/>
      <c r="AN85" s="634"/>
      <c r="AO85" s="623"/>
      <c r="AR85" s="633"/>
      <c r="AS85" s="73"/>
      <c r="AT85" s="105"/>
      <c r="AU85" s="106"/>
      <c r="AV85" s="118"/>
      <c r="AW85" s="116"/>
      <c r="AX85" s="71"/>
      <c r="AY85" s="657"/>
      <c r="AZ85" s="628"/>
      <c r="BA85" s="628"/>
      <c r="BB85" s="626"/>
      <c r="BC85" s="73"/>
      <c r="BD85" s="109"/>
      <c r="BE85" s="118"/>
      <c r="BF85" s="106"/>
      <c r="BG85" s="107"/>
      <c r="BH85" s="71"/>
      <c r="BI85" s="634"/>
    </row>
    <row r="86" spans="1:62" ht="15.75" thickBot="1">
      <c r="A86" s="623"/>
      <c r="B86" s="625"/>
      <c r="C86" s="73"/>
      <c r="D86" s="96"/>
      <c r="E86" s="62"/>
      <c r="F86" s="62"/>
      <c r="G86" s="63"/>
      <c r="H86" s="95"/>
      <c r="I86" s="85"/>
      <c r="J86" s="628"/>
      <c r="K86" s="628"/>
      <c r="L86" s="86"/>
      <c r="M86" s="95"/>
      <c r="N86" s="96"/>
      <c r="O86" s="62"/>
      <c r="P86" s="62"/>
      <c r="Q86" s="63"/>
      <c r="R86" s="71"/>
      <c r="S86" s="631"/>
      <c r="T86" s="623"/>
      <c r="V86" s="623"/>
      <c r="W86" s="625"/>
      <c r="X86" s="73"/>
      <c r="Y86" s="96"/>
      <c r="Z86" s="62"/>
      <c r="AA86" s="62"/>
      <c r="AB86" s="63"/>
      <c r="AC86" s="95"/>
      <c r="AD86" s="85"/>
      <c r="AE86" s="628"/>
      <c r="AF86" s="628"/>
      <c r="AG86" s="86"/>
      <c r="AH86" s="95"/>
      <c r="AI86" s="96"/>
      <c r="AJ86" s="62"/>
      <c r="AK86" s="62"/>
      <c r="AL86" s="63"/>
      <c r="AM86" s="71"/>
      <c r="AN86" s="631"/>
      <c r="AO86" s="623"/>
      <c r="AR86" s="625"/>
      <c r="AS86" s="73"/>
      <c r="AT86" s="110"/>
      <c r="AU86" s="111"/>
      <c r="AV86" s="112"/>
      <c r="AW86" s="113"/>
      <c r="AX86" s="72"/>
      <c r="AY86" s="655"/>
      <c r="AZ86" s="628"/>
      <c r="BA86" s="628"/>
      <c r="BB86" s="633"/>
      <c r="BC86" s="72"/>
      <c r="BD86" s="110"/>
      <c r="BE86" s="111"/>
      <c r="BF86" s="112"/>
      <c r="BG86" s="113"/>
      <c r="BH86" s="71"/>
      <c r="BI86" s="631"/>
    </row>
    <row r="87" spans="1:62" ht="11.25" customHeight="1" thickBot="1">
      <c r="A87" s="623"/>
      <c r="B87" s="639"/>
      <c r="C87" s="67"/>
      <c r="D87" s="68"/>
      <c r="E87" s="68"/>
      <c r="F87" s="68"/>
      <c r="G87" s="97"/>
      <c r="H87" s="70"/>
      <c r="I87" s="45"/>
      <c r="J87" s="629"/>
      <c r="K87" s="629"/>
      <c r="L87" s="45"/>
      <c r="M87" s="67"/>
      <c r="N87" s="68"/>
      <c r="O87" s="97"/>
      <c r="P87" s="68"/>
      <c r="Q87" s="68"/>
      <c r="R87" s="70"/>
      <c r="S87" s="640"/>
      <c r="T87" s="623"/>
      <c r="V87" s="623"/>
      <c r="W87" s="639"/>
      <c r="X87" s="67"/>
      <c r="Y87" s="68"/>
      <c r="Z87" s="68"/>
      <c r="AA87" s="68"/>
      <c r="AB87" s="97"/>
      <c r="AC87" s="70"/>
      <c r="AD87" s="45"/>
      <c r="AE87" s="629"/>
      <c r="AF87" s="629"/>
      <c r="AG87" s="45"/>
      <c r="AH87" s="67"/>
      <c r="AI87" s="68"/>
      <c r="AJ87" s="97"/>
      <c r="AK87" s="68"/>
      <c r="AL87" s="68"/>
      <c r="AM87" s="70"/>
      <c r="AN87" s="640"/>
      <c r="AO87" s="623"/>
      <c r="AR87" s="639"/>
      <c r="AS87" s="67"/>
      <c r="AT87" s="68"/>
      <c r="AU87" s="69"/>
      <c r="AV87" s="68"/>
      <c r="AW87" s="69"/>
      <c r="AX87" s="70"/>
      <c r="AY87" s="658"/>
      <c r="AZ87" s="629"/>
      <c r="BA87" s="629"/>
      <c r="BB87" s="639"/>
      <c r="BC87" s="67"/>
      <c r="BD87" s="68"/>
      <c r="BE87" s="69"/>
      <c r="BF87" s="68"/>
      <c r="BG87" s="69"/>
      <c r="BH87" s="70"/>
      <c r="BI87" s="640"/>
    </row>
    <row r="88" spans="1:62">
      <c r="B88" s="50"/>
      <c r="C88" s="49"/>
      <c r="G88" s="49"/>
      <c r="I88" s="50"/>
      <c r="L88" s="50"/>
      <c r="N88" s="49"/>
      <c r="O88" s="49"/>
      <c r="R88" s="49"/>
      <c r="W88" s="50"/>
      <c r="X88" s="49"/>
      <c r="AB88" s="49"/>
      <c r="AD88" s="50"/>
      <c r="AG88" s="50"/>
      <c r="AI88" s="49"/>
      <c r="AJ88" s="49"/>
      <c r="AM88" s="49"/>
      <c r="AR88" s="50"/>
      <c r="AS88" s="49"/>
      <c r="AT88" s="99"/>
      <c r="AU88" s="659"/>
      <c r="AV88" s="660"/>
      <c r="AW88" s="659"/>
      <c r="AX88" s="661"/>
      <c r="AY88" s="50"/>
      <c r="BB88" s="54"/>
      <c r="BC88" s="662"/>
      <c r="BD88" s="660"/>
      <c r="BE88" s="659"/>
      <c r="BF88" s="660"/>
      <c r="BH88" s="49"/>
    </row>
    <row r="89" spans="1:62" ht="15.75">
      <c r="D89" s="98"/>
      <c r="E89" s="98"/>
      <c r="F89" s="618" t="s">
        <v>177</v>
      </c>
      <c r="G89" s="618"/>
      <c r="H89" s="618"/>
      <c r="I89" s="618"/>
      <c r="J89" s="618"/>
      <c r="Y89" s="98"/>
      <c r="Z89" s="98"/>
      <c r="AA89" s="618" t="s">
        <v>177</v>
      </c>
      <c r="AB89" s="618"/>
      <c r="AC89" s="618"/>
      <c r="AD89" s="618"/>
      <c r="AE89" s="618"/>
      <c r="AT89" s="100"/>
      <c r="AV89" s="44"/>
      <c r="AX89" s="44"/>
      <c r="BB89" s="44"/>
      <c r="BE89" s="55"/>
      <c r="BF89" s="100"/>
    </row>
    <row r="91" spans="1:62" ht="15" customHeight="1">
      <c r="A91" s="619" t="s">
        <v>132</v>
      </c>
      <c r="B91" s="619"/>
      <c r="C91" s="619"/>
      <c r="D91" s="619"/>
      <c r="E91" s="619"/>
      <c r="F91" s="619"/>
      <c r="G91" s="619"/>
      <c r="H91" s="619"/>
      <c r="I91" s="619"/>
      <c r="J91" s="619"/>
      <c r="K91" s="619"/>
      <c r="L91" s="619"/>
      <c r="M91" s="619"/>
      <c r="N91" s="619"/>
      <c r="O91" s="619"/>
      <c r="P91" s="619"/>
      <c r="Q91" s="619"/>
      <c r="R91" s="619"/>
      <c r="S91" s="619"/>
      <c r="T91" s="619"/>
      <c r="V91" s="619" t="s">
        <v>132</v>
      </c>
      <c r="W91" s="619"/>
      <c r="X91" s="619"/>
      <c r="Y91" s="619"/>
      <c r="Z91" s="619"/>
      <c r="AA91" s="619"/>
      <c r="AB91" s="619"/>
      <c r="AC91" s="619"/>
      <c r="AD91" s="619"/>
      <c r="AE91" s="619"/>
      <c r="AF91" s="619"/>
      <c r="AG91" s="619"/>
      <c r="AH91" s="619"/>
      <c r="AI91" s="619"/>
      <c r="AJ91" s="619"/>
      <c r="AK91" s="619"/>
      <c r="AL91" s="619"/>
      <c r="AM91" s="619"/>
      <c r="AN91" s="619"/>
      <c r="AO91" s="619"/>
      <c r="AQ91" s="619" t="s">
        <v>132</v>
      </c>
      <c r="AR91" s="619"/>
      <c r="AS91" s="619"/>
      <c r="AT91" s="619"/>
      <c r="AU91" s="619"/>
      <c r="AV91" s="619"/>
      <c r="AW91" s="619"/>
      <c r="AX91" s="619"/>
      <c r="AY91" s="619"/>
      <c r="AZ91" s="619"/>
      <c r="BA91" s="619"/>
      <c r="BB91" s="619"/>
      <c r="BC91" s="619"/>
      <c r="BD91" s="619"/>
      <c r="BE91" s="619"/>
      <c r="BF91" s="619"/>
      <c r="BG91" s="619"/>
      <c r="BH91" s="619"/>
      <c r="BI91" s="619"/>
      <c r="BJ91" s="619"/>
    </row>
    <row r="92" spans="1:62" ht="15" customHeight="1">
      <c r="A92" s="619"/>
      <c r="B92" s="619"/>
      <c r="C92" s="619"/>
      <c r="D92" s="619"/>
      <c r="E92" s="619"/>
      <c r="F92" s="619"/>
      <c r="G92" s="619"/>
      <c r="H92" s="619"/>
      <c r="I92" s="619"/>
      <c r="J92" s="619"/>
      <c r="K92" s="619"/>
      <c r="L92" s="619"/>
      <c r="M92" s="619"/>
      <c r="N92" s="619"/>
      <c r="O92" s="619"/>
      <c r="P92" s="619"/>
      <c r="Q92" s="619"/>
      <c r="R92" s="619"/>
      <c r="S92" s="619"/>
      <c r="T92" s="619"/>
      <c r="V92" s="619"/>
      <c r="W92" s="619"/>
      <c r="X92" s="619"/>
      <c r="Y92" s="619"/>
      <c r="Z92" s="619"/>
      <c r="AA92" s="619"/>
      <c r="AB92" s="619"/>
      <c r="AC92" s="619"/>
      <c r="AD92" s="619"/>
      <c r="AE92" s="619"/>
      <c r="AF92" s="619"/>
      <c r="AG92" s="619"/>
      <c r="AH92" s="619"/>
      <c r="AI92" s="619"/>
      <c r="AJ92" s="619"/>
      <c r="AK92" s="619"/>
      <c r="AL92" s="619"/>
      <c r="AM92" s="619"/>
      <c r="AN92" s="619"/>
      <c r="AO92" s="619"/>
      <c r="AQ92" s="619"/>
      <c r="AR92" s="619"/>
      <c r="AS92" s="619"/>
      <c r="AT92" s="619"/>
      <c r="AU92" s="619"/>
      <c r="AV92" s="619"/>
      <c r="AW92" s="619"/>
      <c r="AX92" s="619"/>
      <c r="AY92" s="619"/>
      <c r="AZ92" s="619"/>
      <c r="BA92" s="619"/>
      <c r="BB92" s="619"/>
      <c r="BC92" s="619"/>
      <c r="BD92" s="619"/>
      <c r="BE92" s="619"/>
      <c r="BF92" s="619"/>
      <c r="BG92" s="619"/>
      <c r="BH92" s="619"/>
      <c r="BI92" s="619"/>
      <c r="BJ92" s="619"/>
    </row>
    <row r="93" spans="1:62" ht="15" customHeight="1">
      <c r="A93" s="619"/>
      <c r="B93" s="619"/>
      <c r="C93" s="619"/>
      <c r="D93" s="619"/>
      <c r="E93" s="619"/>
      <c r="F93" s="619"/>
      <c r="G93" s="619"/>
      <c r="H93" s="619"/>
      <c r="I93" s="619"/>
      <c r="J93" s="619"/>
      <c r="K93" s="619"/>
      <c r="L93" s="619"/>
      <c r="M93" s="619"/>
      <c r="N93" s="619"/>
      <c r="O93" s="619"/>
      <c r="P93" s="619"/>
      <c r="Q93" s="619"/>
      <c r="R93" s="619"/>
      <c r="S93" s="619"/>
      <c r="T93" s="619"/>
      <c r="V93" s="619"/>
      <c r="W93" s="619"/>
      <c r="X93" s="619"/>
      <c r="Y93" s="619"/>
      <c r="Z93" s="619"/>
      <c r="AA93" s="619"/>
      <c r="AB93" s="619"/>
      <c r="AC93" s="619"/>
      <c r="AD93" s="619"/>
      <c r="AE93" s="619"/>
      <c r="AF93" s="619"/>
      <c r="AG93" s="619"/>
      <c r="AH93" s="619"/>
      <c r="AI93" s="619"/>
      <c r="AJ93" s="619"/>
      <c r="AK93" s="619"/>
      <c r="AL93" s="619"/>
      <c r="AM93" s="619"/>
      <c r="AN93" s="619"/>
      <c r="AO93" s="619"/>
      <c r="AQ93" s="619"/>
      <c r="AR93" s="619"/>
      <c r="AS93" s="619"/>
      <c r="AT93" s="619"/>
      <c r="AU93" s="619"/>
      <c r="AV93" s="619"/>
      <c r="AW93" s="619"/>
      <c r="AX93" s="619"/>
      <c r="AY93" s="619"/>
      <c r="AZ93" s="619"/>
      <c r="BA93" s="619"/>
      <c r="BB93" s="619"/>
      <c r="BC93" s="619"/>
      <c r="BD93" s="619"/>
      <c r="BE93" s="619"/>
      <c r="BF93" s="619"/>
      <c r="BG93" s="619"/>
      <c r="BH93" s="619"/>
      <c r="BI93" s="619"/>
      <c r="BJ93" s="619"/>
    </row>
    <row r="95" spans="1:62">
      <c r="C95" s="620"/>
      <c r="D95" s="621"/>
      <c r="E95" s="621"/>
      <c r="F95" s="621"/>
      <c r="G95" s="621"/>
      <c r="H95" s="622"/>
      <c r="M95" s="620"/>
      <c r="N95" s="621"/>
      <c r="O95" s="621"/>
      <c r="P95" s="621"/>
      <c r="Q95" s="621"/>
      <c r="R95" s="622"/>
      <c r="X95" s="620"/>
      <c r="Y95" s="621"/>
      <c r="Z95" s="621"/>
      <c r="AA95" s="621"/>
      <c r="AB95" s="621"/>
      <c r="AC95" s="622"/>
      <c r="AH95" s="620"/>
      <c r="AI95" s="621"/>
      <c r="AJ95" s="621"/>
      <c r="AK95" s="621"/>
      <c r="AL95" s="621"/>
      <c r="AM95" s="622"/>
      <c r="AS95" s="620"/>
      <c r="AT95" s="621"/>
      <c r="AU95" s="621"/>
      <c r="AV95" s="621"/>
      <c r="AW95" s="621"/>
      <c r="AX95" s="622"/>
      <c r="BC95" s="620"/>
      <c r="BD95" s="621"/>
      <c r="BE95" s="621"/>
      <c r="BF95" s="621"/>
      <c r="BG95" s="621"/>
      <c r="BH95" s="622"/>
    </row>
    <row r="96" spans="1:62" ht="15.75" thickBot="1">
      <c r="B96" s="45"/>
      <c r="C96" s="46"/>
      <c r="D96" s="47"/>
      <c r="E96" s="47"/>
      <c r="F96" s="47"/>
      <c r="G96" s="47"/>
      <c r="H96" s="48"/>
      <c r="J96" s="45"/>
      <c r="K96" s="45"/>
      <c r="L96" s="45"/>
      <c r="M96" s="43"/>
      <c r="R96" s="44"/>
      <c r="S96" s="45"/>
      <c r="W96" s="45"/>
      <c r="X96" s="46"/>
      <c r="Y96" s="47"/>
      <c r="Z96" s="47"/>
      <c r="AA96" s="47"/>
      <c r="AB96" s="47"/>
      <c r="AC96" s="48"/>
      <c r="AE96" s="45"/>
      <c r="AF96" s="45"/>
      <c r="AG96" s="45"/>
      <c r="AH96" s="43"/>
      <c r="AM96" s="44"/>
      <c r="AN96" s="45"/>
      <c r="AR96" s="45"/>
      <c r="AS96" s="46"/>
      <c r="AT96" s="47"/>
      <c r="AU96" s="47"/>
      <c r="AV96" s="47"/>
      <c r="AW96" s="47"/>
      <c r="AX96" s="48"/>
      <c r="AZ96" s="45"/>
      <c r="BA96" s="45"/>
      <c r="BB96" s="45"/>
      <c r="BC96" s="43"/>
      <c r="BH96" s="44"/>
      <c r="BI96" s="45"/>
    </row>
    <row r="97" spans="1:61" ht="11.25" customHeight="1" thickBot="1">
      <c r="A97" s="623"/>
      <c r="B97" s="624"/>
      <c r="C97" s="64"/>
      <c r="D97" s="65"/>
      <c r="E97" s="65"/>
      <c r="F97" s="65"/>
      <c r="G97" s="65"/>
      <c r="H97" s="66"/>
      <c r="I97" s="50"/>
      <c r="J97" s="627"/>
      <c r="K97" s="627"/>
      <c r="M97" s="64"/>
      <c r="N97" s="65"/>
      <c r="O97" s="65"/>
      <c r="P97" s="65"/>
      <c r="Q97" s="65"/>
      <c r="R97" s="66"/>
      <c r="S97" s="630"/>
      <c r="T97" s="623"/>
      <c r="V97" s="623"/>
      <c r="W97" s="624"/>
      <c r="X97" s="64"/>
      <c r="Y97" s="65"/>
      <c r="Z97" s="65"/>
      <c r="AA97" s="65"/>
      <c r="AB97" s="65"/>
      <c r="AC97" s="66"/>
      <c r="AD97" s="50"/>
      <c r="AE97" s="627"/>
      <c r="AF97" s="627"/>
      <c r="AH97" s="64"/>
      <c r="AI97" s="65"/>
      <c r="AJ97" s="65"/>
      <c r="AK97" s="65"/>
      <c r="AL97" s="65"/>
      <c r="AM97" s="66"/>
      <c r="AN97" s="630"/>
      <c r="AO97" s="623"/>
      <c r="AR97" s="624"/>
      <c r="AS97" s="64"/>
      <c r="AT97" s="65"/>
      <c r="AU97" s="65"/>
      <c r="AV97" s="65"/>
      <c r="AW97" s="65"/>
      <c r="AX97" s="66"/>
      <c r="AY97" s="50"/>
      <c r="AZ97" s="627"/>
      <c r="BA97" s="627"/>
      <c r="BC97" s="64"/>
      <c r="BD97" s="65"/>
      <c r="BE97" s="65"/>
      <c r="BF97" s="65"/>
      <c r="BG97" s="65"/>
      <c r="BH97" s="66"/>
      <c r="BI97" s="630"/>
    </row>
    <row r="98" spans="1:61">
      <c r="A98" s="623"/>
      <c r="B98" s="625"/>
      <c r="C98" s="73"/>
      <c r="D98" s="56"/>
      <c r="E98" s="57"/>
      <c r="F98" s="57"/>
      <c r="G98" s="58"/>
      <c r="H98" s="71"/>
      <c r="J98" s="628"/>
      <c r="K98" s="628"/>
      <c r="M98" s="73"/>
      <c r="N98" s="56"/>
      <c r="O98" s="57"/>
      <c r="P98" s="57"/>
      <c r="Q98" s="58"/>
      <c r="R98" s="71"/>
      <c r="S98" s="631"/>
      <c r="T98" s="623"/>
      <c r="V98" s="623"/>
      <c r="W98" s="625"/>
      <c r="X98" s="73"/>
      <c r="Y98" s="56"/>
      <c r="Z98" s="57"/>
      <c r="AA98" s="57"/>
      <c r="AB98" s="58"/>
      <c r="AC98" s="71"/>
      <c r="AE98" s="628"/>
      <c r="AF98" s="628"/>
      <c r="AH98" s="73"/>
      <c r="AI98" s="56"/>
      <c r="AJ98" s="57"/>
      <c r="AK98" s="57"/>
      <c r="AL98" s="58"/>
      <c r="AM98" s="71"/>
      <c r="AN98" s="631"/>
      <c r="AO98" s="623"/>
      <c r="AR98" s="625"/>
      <c r="AS98" s="73"/>
      <c r="AT98" s="102"/>
      <c r="AU98" s="103"/>
      <c r="AV98" s="103"/>
      <c r="AW98" s="104"/>
      <c r="AX98" s="71"/>
      <c r="AZ98" s="628"/>
      <c r="BA98" s="628"/>
      <c r="BC98" s="73"/>
      <c r="BD98" s="102"/>
      <c r="BE98" s="103"/>
      <c r="BF98" s="103"/>
      <c r="BG98" s="104"/>
      <c r="BH98" s="71"/>
      <c r="BI98" s="631"/>
    </row>
    <row r="99" spans="1:61">
      <c r="A99" s="623"/>
      <c r="B99" s="626"/>
      <c r="C99" s="73"/>
      <c r="D99" s="59"/>
      <c r="E99" s="60"/>
      <c r="F99" s="60"/>
      <c r="G99" s="61"/>
      <c r="H99" s="71"/>
      <c r="J99" s="628"/>
      <c r="K99" s="628"/>
      <c r="M99" s="73"/>
      <c r="N99" s="59"/>
      <c r="O99" s="60"/>
      <c r="P99" s="60"/>
      <c r="Q99" s="61"/>
      <c r="R99" s="71"/>
      <c r="S99" s="632"/>
      <c r="T99" s="623"/>
      <c r="V99" s="623"/>
      <c r="W99" s="626"/>
      <c r="X99" s="73"/>
      <c r="Y99" s="59"/>
      <c r="Z99" s="60"/>
      <c r="AA99" s="60"/>
      <c r="AB99" s="61"/>
      <c r="AC99" s="71"/>
      <c r="AE99" s="628"/>
      <c r="AF99" s="628"/>
      <c r="AH99" s="73"/>
      <c r="AI99" s="59"/>
      <c r="AJ99" s="60"/>
      <c r="AK99" s="60"/>
      <c r="AL99" s="61"/>
      <c r="AM99" s="71"/>
      <c r="AN99" s="632"/>
      <c r="AO99" s="623"/>
      <c r="AR99" s="626"/>
      <c r="AS99" s="73"/>
      <c r="AT99" s="105"/>
      <c r="AU99" s="106"/>
      <c r="AV99" s="106"/>
      <c r="AW99" s="107"/>
      <c r="AX99" s="71"/>
      <c r="AZ99" s="628"/>
      <c r="BA99" s="628"/>
      <c r="BC99" s="73"/>
      <c r="BD99" s="105"/>
      <c r="BE99" s="106"/>
      <c r="BF99" s="106"/>
      <c r="BG99" s="107"/>
      <c r="BH99" s="71"/>
      <c r="BI99" s="632"/>
    </row>
    <row r="100" spans="1:61">
      <c r="A100" s="623"/>
      <c r="B100" s="633"/>
      <c r="C100" s="73"/>
      <c r="D100" s="59"/>
      <c r="E100" s="60"/>
      <c r="F100" s="60"/>
      <c r="G100" s="61"/>
      <c r="H100" s="71"/>
      <c r="J100" s="628"/>
      <c r="K100" s="628"/>
      <c r="M100" s="73"/>
      <c r="N100" s="59"/>
      <c r="O100" s="60"/>
      <c r="P100" s="60"/>
      <c r="Q100" s="61"/>
      <c r="R100" s="71"/>
      <c r="S100" s="634"/>
      <c r="T100" s="623"/>
      <c r="V100" s="623"/>
      <c r="W100" s="633"/>
      <c r="X100" s="73"/>
      <c r="Y100" s="59"/>
      <c r="Z100" s="60"/>
      <c r="AA100" s="60"/>
      <c r="AB100" s="61"/>
      <c r="AC100" s="71"/>
      <c r="AE100" s="628"/>
      <c r="AF100" s="628"/>
      <c r="AH100" s="73"/>
      <c r="AI100" s="59"/>
      <c r="AJ100" s="60"/>
      <c r="AK100" s="60"/>
      <c r="AL100" s="61"/>
      <c r="AM100" s="71"/>
      <c r="AN100" s="634"/>
      <c r="AO100" s="623"/>
      <c r="AR100" s="633"/>
      <c r="AS100" s="73"/>
      <c r="AT100" s="105"/>
      <c r="AU100" s="106"/>
      <c r="AV100" s="106"/>
      <c r="AW100" s="107"/>
      <c r="AX100" s="71"/>
      <c r="AZ100" s="628"/>
      <c r="BA100" s="628"/>
      <c r="BC100" s="73"/>
      <c r="BD100" s="105"/>
      <c r="BE100" s="106"/>
      <c r="BF100" s="106"/>
      <c r="BG100" s="107"/>
      <c r="BH100" s="71"/>
      <c r="BI100" s="634"/>
    </row>
    <row r="101" spans="1:61">
      <c r="A101" s="623"/>
      <c r="B101" s="625"/>
      <c r="C101" s="73"/>
      <c r="D101" s="59"/>
      <c r="E101" s="60"/>
      <c r="F101" s="60"/>
      <c r="G101" s="61"/>
      <c r="H101" s="71"/>
      <c r="J101" s="628"/>
      <c r="K101" s="628"/>
      <c r="M101" s="73"/>
      <c r="N101" s="59"/>
      <c r="O101" s="60"/>
      <c r="P101" s="60"/>
      <c r="Q101" s="61"/>
      <c r="R101" s="71"/>
      <c r="S101" s="631"/>
      <c r="T101" s="623"/>
      <c r="V101" s="623"/>
      <c r="W101" s="625"/>
      <c r="X101" s="73"/>
      <c r="Y101" s="59"/>
      <c r="Z101" s="60"/>
      <c r="AA101" s="60"/>
      <c r="AB101" s="61"/>
      <c r="AC101" s="71"/>
      <c r="AE101" s="628"/>
      <c r="AF101" s="628"/>
      <c r="AH101" s="73"/>
      <c r="AI101" s="59"/>
      <c r="AJ101" s="60"/>
      <c r="AK101" s="60"/>
      <c r="AL101" s="61"/>
      <c r="AM101" s="71"/>
      <c r="AN101" s="631"/>
      <c r="AO101" s="623"/>
      <c r="AR101" s="625"/>
      <c r="AS101" s="73"/>
      <c r="AT101" s="105"/>
      <c r="AU101" s="106"/>
      <c r="AV101" s="106"/>
      <c r="AW101" s="107"/>
      <c r="AX101" s="71"/>
      <c r="AZ101" s="628"/>
      <c r="BA101" s="628"/>
      <c r="BC101" s="73"/>
      <c r="BD101" s="105"/>
      <c r="BE101" s="106"/>
      <c r="BF101" s="106"/>
      <c r="BG101" s="107"/>
      <c r="BH101" s="71"/>
      <c r="BI101" s="631"/>
    </row>
    <row r="102" spans="1:61">
      <c r="A102" s="623"/>
      <c r="B102" s="625"/>
      <c r="C102" s="73"/>
      <c r="D102" s="59"/>
      <c r="E102" s="60"/>
      <c r="F102" s="60"/>
      <c r="G102" s="61"/>
      <c r="H102" s="71"/>
      <c r="J102" s="628"/>
      <c r="K102" s="628"/>
      <c r="M102" s="73"/>
      <c r="N102" s="59"/>
      <c r="O102" s="60"/>
      <c r="P102" s="60"/>
      <c r="Q102" s="61"/>
      <c r="R102" s="71"/>
      <c r="S102" s="631"/>
      <c r="T102" s="623"/>
      <c r="V102" s="623"/>
      <c r="W102" s="625"/>
      <c r="X102" s="73"/>
      <c r="Y102" s="59"/>
      <c r="Z102" s="60"/>
      <c r="AA102" s="60"/>
      <c r="AB102" s="61"/>
      <c r="AC102" s="71"/>
      <c r="AE102" s="628"/>
      <c r="AF102" s="628"/>
      <c r="AH102" s="73"/>
      <c r="AI102" s="59"/>
      <c r="AJ102" s="60"/>
      <c r="AK102" s="60"/>
      <c r="AL102" s="61"/>
      <c r="AM102" s="71"/>
      <c r="AN102" s="631"/>
      <c r="AO102" s="623"/>
      <c r="AR102" s="625"/>
      <c r="AS102" s="73"/>
      <c r="AT102" s="105"/>
      <c r="AU102" s="106"/>
      <c r="AV102" s="106"/>
      <c r="AW102" s="107"/>
      <c r="AX102" s="71"/>
      <c r="AZ102" s="628"/>
      <c r="BA102" s="628"/>
      <c r="BC102" s="73"/>
      <c r="BD102" s="105"/>
      <c r="BE102" s="106"/>
      <c r="BF102" s="106"/>
      <c r="BG102" s="107"/>
      <c r="BH102" s="71"/>
      <c r="BI102" s="631"/>
    </row>
    <row r="103" spans="1:61">
      <c r="A103" s="623"/>
      <c r="B103" s="626"/>
      <c r="C103" s="73"/>
      <c r="D103" s="59"/>
      <c r="E103" s="60"/>
      <c r="F103" s="60"/>
      <c r="G103" s="61"/>
      <c r="H103" s="71"/>
      <c r="J103" s="628"/>
      <c r="K103" s="628"/>
      <c r="M103" s="73"/>
      <c r="N103" s="59"/>
      <c r="O103" s="60"/>
      <c r="P103" s="60"/>
      <c r="Q103" s="61"/>
      <c r="R103" s="71"/>
      <c r="S103" s="632"/>
      <c r="T103" s="623"/>
      <c r="V103" s="623"/>
      <c r="W103" s="626"/>
      <c r="X103" s="73"/>
      <c r="Y103" s="59"/>
      <c r="Z103" s="60"/>
      <c r="AA103" s="60"/>
      <c r="AB103" s="61"/>
      <c r="AC103" s="71"/>
      <c r="AE103" s="628"/>
      <c r="AF103" s="628"/>
      <c r="AH103" s="73"/>
      <c r="AI103" s="59"/>
      <c r="AJ103" s="60"/>
      <c r="AK103" s="60"/>
      <c r="AL103" s="61"/>
      <c r="AM103" s="71"/>
      <c r="AN103" s="632"/>
      <c r="AO103" s="623"/>
      <c r="AR103" s="626"/>
      <c r="AS103" s="73"/>
      <c r="AT103" s="105"/>
      <c r="AU103" s="106"/>
      <c r="AV103" s="106"/>
      <c r="AW103" s="107"/>
      <c r="AX103" s="71"/>
      <c r="AZ103" s="628"/>
      <c r="BA103" s="628"/>
      <c r="BC103" s="73"/>
      <c r="BD103" s="105"/>
      <c r="BE103" s="106"/>
      <c r="BF103" s="106"/>
      <c r="BG103" s="107"/>
      <c r="BH103" s="71"/>
      <c r="BI103" s="632"/>
    </row>
    <row r="104" spans="1:61">
      <c r="A104" s="623"/>
      <c r="B104" s="633"/>
      <c r="C104" s="73"/>
      <c r="D104" s="59"/>
      <c r="E104" s="60"/>
      <c r="F104" s="60"/>
      <c r="G104" s="61"/>
      <c r="H104" s="71"/>
      <c r="J104" s="628"/>
      <c r="K104" s="628"/>
      <c r="M104" s="73"/>
      <c r="N104" s="59"/>
      <c r="O104" s="60"/>
      <c r="P104" s="60"/>
      <c r="Q104" s="61"/>
      <c r="R104" s="71"/>
      <c r="S104" s="634"/>
      <c r="T104" s="623"/>
      <c r="V104" s="623"/>
      <c r="W104" s="633"/>
      <c r="X104" s="73"/>
      <c r="Y104" s="59"/>
      <c r="Z104" s="60"/>
      <c r="AA104" s="60"/>
      <c r="AB104" s="61"/>
      <c r="AC104" s="71"/>
      <c r="AE104" s="628"/>
      <c r="AF104" s="628"/>
      <c r="AH104" s="73"/>
      <c r="AI104" s="59"/>
      <c r="AJ104" s="60"/>
      <c r="AK104" s="60"/>
      <c r="AL104" s="61"/>
      <c r="AM104" s="71"/>
      <c r="AN104" s="634"/>
      <c r="AO104" s="623"/>
      <c r="AR104" s="53"/>
      <c r="AS104" s="73"/>
      <c r="AT104" s="105"/>
      <c r="AU104" s="106"/>
      <c r="AV104" s="106"/>
      <c r="AW104" s="107"/>
      <c r="AX104" s="71"/>
      <c r="AZ104" s="628"/>
      <c r="BA104" s="628"/>
      <c r="BC104" s="73"/>
      <c r="BD104" s="105"/>
      <c r="BE104" s="106"/>
      <c r="BF104" s="106"/>
      <c r="BG104" s="107"/>
      <c r="BH104" s="71"/>
      <c r="BI104" s="85"/>
    </row>
    <row r="105" spans="1:61">
      <c r="A105" s="623"/>
      <c r="B105" s="625"/>
      <c r="C105" s="73"/>
      <c r="D105" s="59"/>
      <c r="E105" s="60"/>
      <c r="F105" s="60"/>
      <c r="G105" s="61"/>
      <c r="H105" s="71"/>
      <c r="J105" s="628"/>
      <c r="K105" s="628"/>
      <c r="M105" s="73"/>
      <c r="N105" s="59"/>
      <c r="O105" s="60"/>
      <c r="P105" s="60"/>
      <c r="Q105" s="61"/>
      <c r="R105" s="71"/>
      <c r="S105" s="631"/>
      <c r="T105" s="623"/>
      <c r="V105" s="623"/>
      <c r="W105" s="625"/>
      <c r="X105" s="73"/>
      <c r="Y105" s="59"/>
      <c r="Z105" s="60"/>
      <c r="AA105" s="60"/>
      <c r="AB105" s="61"/>
      <c r="AC105" s="71"/>
      <c r="AE105" s="628"/>
      <c r="AF105" s="628"/>
      <c r="AH105" s="73"/>
      <c r="AI105" s="59"/>
      <c r="AJ105" s="60"/>
      <c r="AK105" s="60"/>
      <c r="AL105" s="61"/>
      <c r="AM105" s="71"/>
      <c r="AN105" s="631"/>
      <c r="AO105" s="623"/>
      <c r="AS105" s="73"/>
      <c r="AT105" s="105"/>
      <c r="AU105" s="106"/>
      <c r="AV105" s="106"/>
      <c r="AW105" s="107"/>
      <c r="AX105" s="71"/>
      <c r="AZ105" s="628"/>
      <c r="BA105" s="628"/>
      <c r="BC105" s="73"/>
      <c r="BD105" s="105"/>
      <c r="BE105" s="106"/>
      <c r="BF105" s="106"/>
      <c r="BG105" s="107"/>
      <c r="BH105" s="71"/>
    </row>
    <row r="106" spans="1:61">
      <c r="A106" s="623"/>
      <c r="B106" s="625"/>
      <c r="C106" s="73"/>
      <c r="D106" s="59"/>
      <c r="E106" s="60"/>
      <c r="F106" s="60"/>
      <c r="G106" s="61"/>
      <c r="H106" s="71"/>
      <c r="J106" s="628"/>
      <c r="K106" s="628"/>
      <c r="M106" s="73"/>
      <c r="N106" s="59"/>
      <c r="O106" s="60"/>
      <c r="P106" s="60"/>
      <c r="Q106" s="61"/>
      <c r="R106" s="71"/>
      <c r="S106" s="631"/>
      <c r="T106" s="623"/>
      <c r="V106" s="623"/>
      <c r="W106" s="625"/>
      <c r="X106" s="73"/>
      <c r="Y106" s="59"/>
      <c r="Z106" s="60"/>
      <c r="AA106" s="60"/>
      <c r="AB106" s="61"/>
      <c r="AC106" s="71"/>
      <c r="AE106" s="628"/>
      <c r="AF106" s="628"/>
      <c r="AH106" s="73"/>
      <c r="AI106" s="59"/>
      <c r="AJ106" s="60"/>
      <c r="AK106" s="60"/>
      <c r="AL106" s="61"/>
      <c r="AM106" s="71"/>
      <c r="AN106" s="631"/>
      <c r="AO106" s="623"/>
      <c r="AR106" s="86"/>
      <c r="AS106" s="73"/>
      <c r="AT106" s="105"/>
      <c r="AU106" s="106"/>
      <c r="AV106" s="106"/>
      <c r="AW106" s="107"/>
      <c r="AX106" s="71"/>
      <c r="AZ106" s="628"/>
      <c r="BA106" s="628"/>
      <c r="BC106" s="73"/>
      <c r="BD106" s="105"/>
      <c r="BE106" s="106"/>
      <c r="BF106" s="106"/>
      <c r="BG106" s="107"/>
      <c r="BH106" s="71"/>
      <c r="BI106" s="85"/>
    </row>
    <row r="107" spans="1:61">
      <c r="A107" s="623"/>
      <c r="B107" s="626"/>
      <c r="C107" s="73"/>
      <c r="D107" s="59"/>
      <c r="E107" s="60"/>
      <c r="F107" s="60"/>
      <c r="G107" s="61"/>
      <c r="H107" s="71"/>
      <c r="J107" s="628"/>
      <c r="K107" s="628"/>
      <c r="M107" s="73"/>
      <c r="N107" s="59"/>
      <c r="O107" s="60"/>
      <c r="P107" s="60"/>
      <c r="Q107" s="61"/>
      <c r="R107" s="71"/>
      <c r="S107" s="632"/>
      <c r="T107" s="623"/>
      <c r="V107" s="623"/>
      <c r="W107" s="626"/>
      <c r="X107" s="73"/>
      <c r="Y107" s="59"/>
      <c r="Z107" s="60"/>
      <c r="AA107" s="60"/>
      <c r="AB107" s="61"/>
      <c r="AC107" s="71"/>
      <c r="AE107" s="628"/>
      <c r="AF107" s="628"/>
      <c r="AH107" s="73"/>
      <c r="AI107" s="59"/>
      <c r="AJ107" s="60"/>
      <c r="AK107" s="60"/>
      <c r="AL107" s="61"/>
      <c r="AM107" s="71"/>
      <c r="AN107" s="632"/>
      <c r="AO107" s="623"/>
      <c r="AR107" s="121"/>
      <c r="AS107" s="73"/>
      <c r="AT107" s="105"/>
      <c r="AU107" s="106"/>
      <c r="AV107" s="106"/>
      <c r="AW107" s="107"/>
      <c r="AX107" s="71"/>
      <c r="AZ107" s="628"/>
      <c r="BA107" s="628"/>
      <c r="BC107" s="73"/>
      <c r="BD107" s="105"/>
      <c r="BE107" s="106"/>
      <c r="BF107" s="106"/>
      <c r="BG107" s="107"/>
      <c r="BH107" s="71"/>
      <c r="BI107" s="123"/>
    </row>
    <row r="108" spans="1:61">
      <c r="A108" s="623"/>
      <c r="B108" s="633"/>
      <c r="C108" s="73"/>
      <c r="D108" s="59"/>
      <c r="E108" s="60"/>
      <c r="F108" s="60"/>
      <c r="G108" s="61"/>
      <c r="H108" s="71"/>
      <c r="J108" s="628"/>
      <c r="K108" s="628"/>
      <c r="M108" s="73"/>
      <c r="N108" s="59"/>
      <c r="O108" s="60"/>
      <c r="P108" s="60"/>
      <c r="Q108" s="61"/>
      <c r="R108" s="71"/>
      <c r="S108" s="634"/>
      <c r="T108" s="623"/>
      <c r="V108" s="623"/>
      <c r="W108" s="633"/>
      <c r="X108" s="73"/>
      <c r="Y108" s="59"/>
      <c r="Z108" s="60"/>
      <c r="AA108" s="60"/>
      <c r="AB108" s="61"/>
      <c r="AC108" s="71"/>
      <c r="AE108" s="628"/>
      <c r="AF108" s="628"/>
      <c r="AH108" s="73"/>
      <c r="AI108" s="59"/>
      <c r="AJ108" s="60"/>
      <c r="AK108" s="60"/>
      <c r="AL108" s="61"/>
      <c r="AM108" s="71"/>
      <c r="AN108" s="634"/>
      <c r="AO108" s="623"/>
      <c r="AR108" s="633"/>
      <c r="AS108" s="73"/>
      <c r="AT108" s="105"/>
      <c r="AU108" s="106"/>
      <c r="AV108" s="106"/>
      <c r="AW108" s="107"/>
      <c r="AX108" s="71"/>
      <c r="AZ108" s="628"/>
      <c r="BA108" s="628"/>
      <c r="BC108" s="73"/>
      <c r="BD108" s="105"/>
      <c r="BE108" s="106"/>
      <c r="BF108" s="106"/>
      <c r="BG108" s="107"/>
      <c r="BH108" s="71"/>
      <c r="BI108" s="634"/>
    </row>
    <row r="109" spans="1:61">
      <c r="A109" s="623"/>
      <c r="B109" s="625"/>
      <c r="C109" s="73"/>
      <c r="D109" s="59"/>
      <c r="E109" s="60"/>
      <c r="F109" s="60"/>
      <c r="G109" s="61"/>
      <c r="H109" s="71"/>
      <c r="J109" s="628"/>
      <c r="K109" s="628"/>
      <c r="L109" s="86"/>
      <c r="M109" s="73"/>
      <c r="N109" s="59"/>
      <c r="O109" s="60"/>
      <c r="P109" s="60"/>
      <c r="Q109" s="61"/>
      <c r="R109" s="71"/>
      <c r="S109" s="631"/>
      <c r="T109" s="623"/>
      <c r="V109" s="623"/>
      <c r="W109" s="625"/>
      <c r="X109" s="73"/>
      <c r="Y109" s="59"/>
      <c r="Z109" s="60"/>
      <c r="AA109" s="60"/>
      <c r="AB109" s="61"/>
      <c r="AC109" s="71"/>
      <c r="AD109" s="45"/>
      <c r="AE109" s="628"/>
      <c r="AF109" s="628"/>
      <c r="AG109" s="45"/>
      <c r="AH109" s="73"/>
      <c r="AI109" s="59"/>
      <c r="AJ109" s="60"/>
      <c r="AK109" s="60"/>
      <c r="AL109" s="61"/>
      <c r="AM109" s="71"/>
      <c r="AN109" s="631"/>
      <c r="AO109" s="623"/>
      <c r="AR109" s="625"/>
      <c r="AS109" s="73"/>
      <c r="AT109" s="105"/>
      <c r="AU109" s="106"/>
      <c r="AV109" s="106"/>
      <c r="AW109" s="107"/>
      <c r="AX109" s="71"/>
      <c r="AZ109" s="628"/>
      <c r="BA109" s="628"/>
      <c r="BC109" s="73"/>
      <c r="BD109" s="105"/>
      <c r="BE109" s="106"/>
      <c r="BF109" s="106"/>
      <c r="BG109" s="107"/>
      <c r="BH109" s="71"/>
      <c r="BI109" s="631"/>
    </row>
    <row r="110" spans="1:61">
      <c r="A110" s="623"/>
      <c r="B110" s="626"/>
      <c r="C110" s="73"/>
      <c r="D110" s="59"/>
      <c r="E110" s="60"/>
      <c r="F110" s="60"/>
      <c r="G110" s="61"/>
      <c r="H110" s="71"/>
      <c r="I110" s="85"/>
      <c r="J110" s="628"/>
      <c r="K110" s="628"/>
      <c r="M110" s="73"/>
      <c r="N110" s="59"/>
      <c r="O110" s="60"/>
      <c r="P110" s="60"/>
      <c r="Q110" s="61"/>
      <c r="R110" s="71"/>
      <c r="S110" s="632"/>
      <c r="T110" s="623"/>
      <c r="V110" s="623"/>
      <c r="W110" s="626"/>
      <c r="X110" s="73"/>
      <c r="Y110" s="59"/>
      <c r="Z110" s="60"/>
      <c r="AA110" s="60"/>
      <c r="AB110" s="61"/>
      <c r="AC110" s="71"/>
      <c r="AE110" s="628"/>
      <c r="AF110" s="628"/>
      <c r="AH110" s="73"/>
      <c r="AI110" s="59"/>
      <c r="AJ110" s="60"/>
      <c r="AK110" s="60"/>
      <c r="AL110" s="61"/>
      <c r="AM110" s="71"/>
      <c r="AN110" s="632"/>
      <c r="AO110" s="623"/>
      <c r="AR110" s="626"/>
      <c r="AS110" s="73"/>
      <c r="AT110" s="105"/>
      <c r="AU110" s="106"/>
      <c r="AV110" s="106"/>
      <c r="AW110" s="107"/>
      <c r="AX110" s="71"/>
      <c r="AZ110" s="628"/>
      <c r="BA110" s="628"/>
      <c r="BC110" s="73"/>
      <c r="BD110" s="105"/>
      <c r="BE110" s="106"/>
      <c r="BF110" s="106"/>
      <c r="BG110" s="107"/>
      <c r="BH110" s="71"/>
      <c r="BI110" s="632"/>
    </row>
    <row r="111" spans="1:61">
      <c r="A111" s="623"/>
      <c r="B111" s="633"/>
      <c r="C111" s="73"/>
      <c r="D111" s="59"/>
      <c r="E111" s="635"/>
      <c r="F111" s="635"/>
      <c r="G111" s="61"/>
      <c r="H111" s="71"/>
      <c r="J111" s="628"/>
      <c r="K111" s="628"/>
      <c r="M111" s="73"/>
      <c r="N111" s="59"/>
      <c r="O111" s="636"/>
      <c r="P111" s="636"/>
      <c r="Q111" s="61"/>
      <c r="R111" s="71"/>
      <c r="S111" s="634"/>
      <c r="T111" s="623"/>
      <c r="V111" s="623"/>
      <c r="W111" s="633"/>
      <c r="X111" s="73"/>
      <c r="Y111" s="59"/>
      <c r="Z111" s="635"/>
      <c r="AA111" s="635"/>
      <c r="AB111" s="61"/>
      <c r="AC111" s="71"/>
      <c r="AE111" s="628"/>
      <c r="AF111" s="628"/>
      <c r="AH111" s="73"/>
      <c r="AI111" s="59"/>
      <c r="AJ111" s="636"/>
      <c r="AK111" s="636"/>
      <c r="AL111" s="61"/>
      <c r="AM111" s="71"/>
      <c r="AN111" s="634"/>
      <c r="AO111" s="623"/>
      <c r="AR111" s="633"/>
      <c r="AS111" s="73"/>
      <c r="AT111" s="105"/>
      <c r="AU111" s="114" t="s">
        <v>131</v>
      </c>
      <c r="AV111" s="119"/>
      <c r="AW111" s="107"/>
      <c r="AX111" s="71"/>
      <c r="AZ111" s="628"/>
      <c r="BA111" s="628"/>
      <c r="BC111" s="73"/>
      <c r="BD111" s="105"/>
      <c r="BE111" s="108" t="s">
        <v>131</v>
      </c>
      <c r="BF111" s="119"/>
      <c r="BG111" s="107"/>
      <c r="BH111" s="71"/>
      <c r="BI111" s="634"/>
    </row>
    <row r="112" spans="1:61">
      <c r="A112" s="623"/>
      <c r="B112" s="625"/>
      <c r="C112" s="73"/>
      <c r="D112" s="59"/>
      <c r="E112" s="60"/>
      <c r="F112" s="60"/>
      <c r="G112" s="61"/>
      <c r="H112" s="71"/>
      <c r="I112" s="637"/>
      <c r="J112" s="628"/>
      <c r="K112" s="628"/>
      <c r="L112" s="638"/>
      <c r="M112" s="73"/>
      <c r="N112" s="59"/>
      <c r="O112" s="60"/>
      <c r="P112" s="60"/>
      <c r="Q112" s="61"/>
      <c r="R112" s="71"/>
      <c r="S112" s="631"/>
      <c r="T112" s="623"/>
      <c r="V112" s="623"/>
      <c r="W112" s="625"/>
      <c r="X112" s="73"/>
      <c r="Y112" s="59"/>
      <c r="Z112" s="60"/>
      <c r="AA112" s="60"/>
      <c r="AB112" s="61"/>
      <c r="AC112" s="71"/>
      <c r="AD112" s="637"/>
      <c r="AE112" s="628"/>
      <c r="AF112" s="628"/>
      <c r="AG112" s="638"/>
      <c r="AH112" s="73"/>
      <c r="AI112" s="59"/>
      <c r="AJ112" s="60"/>
      <c r="AK112" s="60"/>
      <c r="AL112" s="61"/>
      <c r="AM112" s="71"/>
      <c r="AN112" s="631"/>
      <c r="AO112" s="623"/>
      <c r="AR112" s="625"/>
      <c r="AS112" s="73"/>
      <c r="AT112" s="105"/>
      <c r="AU112" s="106"/>
      <c r="AV112" s="106"/>
      <c r="AW112" s="107"/>
      <c r="AX112" s="71"/>
      <c r="AY112" s="52"/>
      <c r="AZ112" s="628"/>
      <c r="BA112" s="628"/>
      <c r="BB112" s="51"/>
      <c r="BC112" s="101"/>
      <c r="BD112" s="109"/>
      <c r="BE112" s="106"/>
      <c r="BF112" s="106"/>
      <c r="BG112" s="107"/>
      <c r="BH112" s="71"/>
      <c r="BI112" s="631"/>
    </row>
    <row r="113" spans="1:61">
      <c r="A113" s="623"/>
      <c r="B113" s="625"/>
      <c r="C113" s="73"/>
      <c r="D113" s="59"/>
      <c r="E113" s="60"/>
      <c r="F113" s="60"/>
      <c r="G113" s="61"/>
      <c r="H113" s="71"/>
      <c r="I113" s="637"/>
      <c r="J113" s="628"/>
      <c r="K113" s="628"/>
      <c r="L113" s="638"/>
      <c r="M113" s="73"/>
      <c r="N113" s="59"/>
      <c r="O113" s="60"/>
      <c r="P113" s="60"/>
      <c r="Q113" s="61"/>
      <c r="R113" s="71"/>
      <c r="S113" s="631"/>
      <c r="T113" s="623"/>
      <c r="V113" s="623"/>
      <c r="W113" s="625"/>
      <c r="X113" s="73"/>
      <c r="Y113" s="59"/>
      <c r="Z113" s="60"/>
      <c r="AA113" s="60"/>
      <c r="AB113" s="61"/>
      <c r="AC113" s="71"/>
      <c r="AD113" s="637"/>
      <c r="AE113" s="628"/>
      <c r="AF113" s="628"/>
      <c r="AG113" s="638"/>
      <c r="AH113" s="73"/>
      <c r="AI113" s="59"/>
      <c r="AJ113" s="60"/>
      <c r="AK113" s="60"/>
      <c r="AL113" s="61"/>
      <c r="AM113" s="71"/>
      <c r="AN113" s="631"/>
      <c r="AO113" s="623"/>
      <c r="AR113" s="625"/>
      <c r="AS113" s="73"/>
      <c r="AT113" s="117"/>
      <c r="AU113" s="106"/>
      <c r="AV113" s="118"/>
      <c r="AW113" s="115"/>
      <c r="AX113" s="72"/>
      <c r="AY113" s="655"/>
      <c r="AZ113" s="628"/>
      <c r="BA113" s="628"/>
      <c r="BB113" s="633"/>
      <c r="BC113" s="73"/>
      <c r="BD113" s="105"/>
      <c r="BE113" s="118"/>
      <c r="BF113" s="106"/>
      <c r="BG113" s="107"/>
      <c r="BH113" s="71"/>
      <c r="BI113" s="631"/>
    </row>
    <row r="114" spans="1:61">
      <c r="A114" s="623"/>
      <c r="B114" s="626"/>
      <c r="C114" s="73"/>
      <c r="D114" s="59"/>
      <c r="E114" s="60"/>
      <c r="F114" s="60"/>
      <c r="G114" s="61"/>
      <c r="H114" s="71"/>
      <c r="I114" s="637"/>
      <c r="J114" s="628"/>
      <c r="K114" s="628"/>
      <c r="L114" s="638"/>
      <c r="M114" s="73"/>
      <c r="N114" s="59"/>
      <c r="O114" s="60"/>
      <c r="P114" s="60"/>
      <c r="Q114" s="61"/>
      <c r="R114" s="71"/>
      <c r="S114" s="632"/>
      <c r="T114" s="623"/>
      <c r="V114" s="623"/>
      <c r="W114" s="626"/>
      <c r="X114" s="73"/>
      <c r="Y114" s="59"/>
      <c r="Z114" s="60"/>
      <c r="AA114" s="60"/>
      <c r="AB114" s="61"/>
      <c r="AC114" s="71"/>
      <c r="AD114" s="637"/>
      <c r="AE114" s="628"/>
      <c r="AF114" s="628"/>
      <c r="AG114" s="638"/>
      <c r="AH114" s="73"/>
      <c r="AI114" s="59"/>
      <c r="AJ114" s="60"/>
      <c r="AK114" s="60"/>
      <c r="AL114" s="61"/>
      <c r="AM114" s="71"/>
      <c r="AN114" s="632"/>
      <c r="AO114" s="623"/>
      <c r="AR114" s="626"/>
      <c r="AS114" s="73"/>
      <c r="AT114" s="105"/>
      <c r="AU114" s="108" t="s">
        <v>131</v>
      </c>
      <c r="AV114" s="120"/>
      <c r="AW114" s="107"/>
      <c r="AX114" s="71"/>
      <c r="AY114" s="656"/>
      <c r="AZ114" s="628"/>
      <c r="BA114" s="628"/>
      <c r="BB114" s="625"/>
      <c r="BC114" s="73"/>
      <c r="BD114" s="105"/>
      <c r="BE114" s="108" t="s">
        <v>131</v>
      </c>
      <c r="BF114" s="119"/>
      <c r="BG114" s="107"/>
      <c r="BH114" s="71"/>
      <c r="BI114" s="632"/>
    </row>
    <row r="115" spans="1:61">
      <c r="A115" s="623"/>
      <c r="B115" s="633"/>
      <c r="C115" s="73"/>
      <c r="D115" s="59"/>
      <c r="E115" s="60"/>
      <c r="F115" s="60"/>
      <c r="G115" s="61"/>
      <c r="H115" s="95"/>
      <c r="I115" s="85"/>
      <c r="J115" s="628"/>
      <c r="K115" s="628"/>
      <c r="M115" s="73"/>
      <c r="N115" s="59"/>
      <c r="O115" s="60"/>
      <c r="P115" s="60"/>
      <c r="Q115" s="61"/>
      <c r="R115" s="71"/>
      <c r="S115" s="634"/>
      <c r="T115" s="623"/>
      <c r="V115" s="623"/>
      <c r="W115" s="633"/>
      <c r="X115" s="73"/>
      <c r="Y115" s="59"/>
      <c r="Z115" s="60"/>
      <c r="AA115" s="60"/>
      <c r="AB115" s="61"/>
      <c r="AC115" s="95"/>
      <c r="AD115" s="85"/>
      <c r="AE115" s="628"/>
      <c r="AF115" s="628"/>
      <c r="AH115" s="73"/>
      <c r="AI115" s="59"/>
      <c r="AJ115" s="60"/>
      <c r="AK115" s="60"/>
      <c r="AL115" s="61"/>
      <c r="AM115" s="71"/>
      <c r="AN115" s="634"/>
      <c r="AO115" s="623"/>
      <c r="AR115" s="633"/>
      <c r="AS115" s="73"/>
      <c r="AT115" s="105"/>
      <c r="AU115" s="106"/>
      <c r="AV115" s="118"/>
      <c r="AW115" s="116"/>
      <c r="AX115" s="71"/>
      <c r="AY115" s="657"/>
      <c r="AZ115" s="628"/>
      <c r="BA115" s="628"/>
      <c r="BB115" s="626"/>
      <c r="BC115" s="73"/>
      <c r="BD115" s="109"/>
      <c r="BE115" s="118"/>
      <c r="BF115" s="106"/>
      <c r="BG115" s="107"/>
      <c r="BH115" s="71"/>
      <c r="BI115" s="634"/>
    </row>
    <row r="116" spans="1:61" ht="15.75" thickBot="1">
      <c r="A116" s="623"/>
      <c r="B116" s="625"/>
      <c r="C116" s="73"/>
      <c r="D116" s="96"/>
      <c r="E116" s="62"/>
      <c r="F116" s="62"/>
      <c r="G116" s="63"/>
      <c r="H116" s="95"/>
      <c r="I116" s="85"/>
      <c r="J116" s="628"/>
      <c r="K116" s="628"/>
      <c r="L116" s="86"/>
      <c r="M116" s="95"/>
      <c r="N116" s="96"/>
      <c r="O116" s="62"/>
      <c r="P116" s="62"/>
      <c r="Q116" s="63"/>
      <c r="R116" s="71"/>
      <c r="S116" s="631"/>
      <c r="T116" s="623"/>
      <c r="V116" s="623"/>
      <c r="W116" s="625"/>
      <c r="X116" s="73"/>
      <c r="Y116" s="96"/>
      <c r="Z116" s="62"/>
      <c r="AA116" s="62"/>
      <c r="AB116" s="63"/>
      <c r="AC116" s="95"/>
      <c r="AD116" s="85"/>
      <c r="AE116" s="628"/>
      <c r="AF116" s="628"/>
      <c r="AG116" s="86"/>
      <c r="AH116" s="95"/>
      <c r="AI116" s="96"/>
      <c r="AJ116" s="62"/>
      <c r="AK116" s="62"/>
      <c r="AL116" s="63"/>
      <c r="AM116" s="71"/>
      <c r="AN116" s="631"/>
      <c r="AO116" s="623"/>
      <c r="AR116" s="625"/>
      <c r="AS116" s="73"/>
      <c r="AT116" s="110"/>
      <c r="AU116" s="111"/>
      <c r="AV116" s="112"/>
      <c r="AW116" s="113"/>
      <c r="AX116" s="72"/>
      <c r="AY116" s="655"/>
      <c r="AZ116" s="628"/>
      <c r="BA116" s="628"/>
      <c r="BB116" s="633"/>
      <c r="BC116" s="72"/>
      <c r="BD116" s="110"/>
      <c r="BE116" s="111"/>
      <c r="BF116" s="112"/>
      <c r="BG116" s="113"/>
      <c r="BH116" s="71"/>
      <c r="BI116" s="631"/>
    </row>
    <row r="117" spans="1:61" ht="11.25" customHeight="1" thickBot="1">
      <c r="A117" s="623"/>
      <c r="B117" s="639"/>
      <c r="C117" s="67"/>
      <c r="D117" s="68"/>
      <c r="E117" s="68"/>
      <c r="F117" s="68"/>
      <c r="G117" s="97"/>
      <c r="H117" s="70"/>
      <c r="I117" s="45"/>
      <c r="J117" s="629"/>
      <c r="K117" s="629"/>
      <c r="L117" s="45"/>
      <c r="M117" s="67"/>
      <c r="N117" s="68"/>
      <c r="O117" s="97"/>
      <c r="P117" s="68"/>
      <c r="Q117" s="68"/>
      <c r="R117" s="70"/>
      <c r="S117" s="640"/>
      <c r="T117" s="623"/>
      <c r="V117" s="623"/>
      <c r="W117" s="639"/>
      <c r="X117" s="67"/>
      <c r="Y117" s="68"/>
      <c r="Z117" s="68"/>
      <c r="AA117" s="68"/>
      <c r="AB117" s="97"/>
      <c r="AC117" s="70"/>
      <c r="AD117" s="45"/>
      <c r="AE117" s="629"/>
      <c r="AF117" s="629"/>
      <c r="AG117" s="45"/>
      <c r="AH117" s="67"/>
      <c r="AI117" s="68"/>
      <c r="AJ117" s="97"/>
      <c r="AK117" s="68"/>
      <c r="AL117" s="68"/>
      <c r="AM117" s="70"/>
      <c r="AN117" s="640"/>
      <c r="AO117" s="623"/>
      <c r="AR117" s="639"/>
      <c r="AS117" s="67"/>
      <c r="AT117" s="68"/>
      <c r="AU117" s="69"/>
      <c r="AV117" s="68"/>
      <c r="AW117" s="69"/>
      <c r="AX117" s="70"/>
      <c r="AY117" s="658"/>
      <c r="AZ117" s="629"/>
      <c r="BA117" s="629"/>
      <c r="BB117" s="639"/>
      <c r="BC117" s="67"/>
      <c r="BD117" s="68"/>
      <c r="BE117" s="69"/>
      <c r="BF117" s="68"/>
      <c r="BG117" s="69"/>
      <c r="BH117" s="70"/>
      <c r="BI117" s="640"/>
    </row>
    <row r="118" spans="1:61">
      <c r="B118" s="50"/>
      <c r="C118" s="49"/>
      <c r="G118" s="49"/>
      <c r="I118" s="50"/>
      <c r="L118" s="50"/>
      <c r="N118" s="49"/>
      <c r="O118" s="49"/>
      <c r="R118" s="49"/>
      <c r="W118" s="50"/>
      <c r="X118" s="49"/>
      <c r="AB118" s="49"/>
      <c r="AD118" s="50"/>
      <c r="AG118" s="50"/>
      <c r="AI118" s="49"/>
      <c r="AJ118" s="49"/>
      <c r="AM118" s="49"/>
      <c r="AR118" s="50"/>
      <c r="AS118" s="49"/>
      <c r="AT118" s="99"/>
      <c r="AU118" s="659"/>
      <c r="AV118" s="660"/>
      <c r="AW118" s="659"/>
      <c r="AX118" s="661"/>
      <c r="AY118" s="50"/>
      <c r="BB118" s="54"/>
      <c r="BC118" s="662"/>
      <c r="BD118" s="660"/>
      <c r="BE118" s="659"/>
      <c r="BF118" s="660"/>
      <c r="BH118" s="49"/>
    </row>
    <row r="119" spans="1:61" ht="15.75">
      <c r="D119" s="98"/>
      <c r="E119" s="98"/>
      <c r="F119" s="618" t="s">
        <v>177</v>
      </c>
      <c r="G119" s="618"/>
      <c r="H119" s="618"/>
      <c r="I119" s="618"/>
      <c r="J119" s="618"/>
      <c r="Y119" s="98"/>
      <c r="Z119" s="98"/>
      <c r="AA119" s="618" t="s">
        <v>177</v>
      </c>
      <c r="AB119" s="618"/>
      <c r="AC119" s="618"/>
      <c r="AD119" s="618"/>
      <c r="AE119" s="618"/>
      <c r="AT119" s="100"/>
      <c r="AV119" s="44"/>
      <c r="AX119" s="44"/>
      <c r="BB119" s="44"/>
      <c r="BE119" s="55"/>
      <c r="BF119" s="100"/>
    </row>
  </sheetData>
  <protectedRanges>
    <protectedRange sqref="X5 W7 W25 AE7 AH5 AN7 AN25 X35 W37 W55 AE37 AH35 AN37 AN55 X65 W67 W85 AE67 AH65 AN67 AN85 X95 W97 W115 AE97 AH95 AN97 AN115 C5 B7 B25 J7 M5 S7 S25 C35 B37 B55 J37 M35 S37 S55 C65 B67 B85 J67 M65 S67 S85 C95 B97 B115 J97 M95 S97 S115" name="Диапазон1"/>
  </protectedRanges>
  <mergeCells count="222">
    <mergeCell ref="V1:AO3"/>
    <mergeCell ref="AQ1:BJ3"/>
    <mergeCell ref="Z21:AA21"/>
    <mergeCell ref="AJ21:AK21"/>
    <mergeCell ref="X5:AC5"/>
    <mergeCell ref="W7:W9"/>
    <mergeCell ref="AH5:AM5"/>
    <mergeCell ref="AN7:AN9"/>
    <mergeCell ref="BC5:BH5"/>
    <mergeCell ref="AS5:AX5"/>
    <mergeCell ref="AQ31:BJ33"/>
    <mergeCell ref="Z51:AA51"/>
    <mergeCell ref="AJ51:AK51"/>
    <mergeCell ref="X35:AC35"/>
    <mergeCell ref="AH35:AM35"/>
    <mergeCell ref="AS35:AX35"/>
    <mergeCell ref="BC35:BH35"/>
    <mergeCell ref="W37:W39"/>
    <mergeCell ref="AE37:AF57"/>
    <mergeCell ref="AN37:AN39"/>
    <mergeCell ref="AR37:AR39"/>
    <mergeCell ref="AZ37:BA57"/>
    <mergeCell ref="BI37:BI39"/>
    <mergeCell ref="W40:W46"/>
    <mergeCell ref="W47:W54"/>
    <mergeCell ref="AN47:AN54"/>
    <mergeCell ref="AR47:AR54"/>
    <mergeCell ref="BI47:BI54"/>
    <mergeCell ref="BI55:BI57"/>
    <mergeCell ref="AY56:AY57"/>
    <mergeCell ref="BB56:BB57"/>
    <mergeCell ref="BB23:BB25"/>
    <mergeCell ref="AY23:AY25"/>
    <mergeCell ref="AN25:AN27"/>
    <mergeCell ref="W25:W27"/>
    <mergeCell ref="AE7:AF27"/>
    <mergeCell ref="AZ7:BA27"/>
    <mergeCell ref="BI25:BI27"/>
    <mergeCell ref="AR25:AR27"/>
    <mergeCell ref="AR7:AR9"/>
    <mergeCell ref="BI7:BI9"/>
    <mergeCell ref="AY26:AY27"/>
    <mergeCell ref="BB26:BB27"/>
    <mergeCell ref="AG25:AG27"/>
    <mergeCell ref="AD25:AD27"/>
    <mergeCell ref="AA119:AE119"/>
    <mergeCell ref="AU118:AV118"/>
    <mergeCell ref="AW118:AX118"/>
    <mergeCell ref="BC118:BD118"/>
    <mergeCell ref="BE118:BF118"/>
    <mergeCell ref="AA29:AE29"/>
    <mergeCell ref="AW28:AX28"/>
    <mergeCell ref="BC28:BD28"/>
    <mergeCell ref="BE28:BF28"/>
    <mergeCell ref="AU28:AV28"/>
    <mergeCell ref="Z81:AA81"/>
    <mergeCell ref="AJ81:AK81"/>
    <mergeCell ref="V61:AO63"/>
    <mergeCell ref="AQ61:BJ63"/>
    <mergeCell ref="X65:AC65"/>
    <mergeCell ref="AH65:AM65"/>
    <mergeCell ref="AS65:AX65"/>
    <mergeCell ref="BC65:BH65"/>
    <mergeCell ref="W67:W69"/>
    <mergeCell ref="AE67:AF87"/>
    <mergeCell ref="AN67:AN69"/>
    <mergeCell ref="AR67:AR69"/>
    <mergeCell ref="AZ67:BA87"/>
    <mergeCell ref="BI67:BI69"/>
    <mergeCell ref="AU58:AV58"/>
    <mergeCell ref="AW58:AX58"/>
    <mergeCell ref="BC58:BD58"/>
    <mergeCell ref="BE58:BF58"/>
    <mergeCell ref="AY53:AY55"/>
    <mergeCell ref="BB53:BB55"/>
    <mergeCell ref="W55:W57"/>
    <mergeCell ref="AN55:AN57"/>
    <mergeCell ref="AR55:AR57"/>
    <mergeCell ref="BI70:BI73"/>
    <mergeCell ref="AR81:AR84"/>
    <mergeCell ref="AR70:AR73"/>
    <mergeCell ref="AN81:AN84"/>
    <mergeCell ref="AN70:AN73"/>
    <mergeCell ref="AU88:AV88"/>
    <mergeCell ref="AW88:AX88"/>
    <mergeCell ref="BC88:BD88"/>
    <mergeCell ref="BE88:BF88"/>
    <mergeCell ref="AY83:AY85"/>
    <mergeCell ref="BB83:BB85"/>
    <mergeCell ref="AN85:AN87"/>
    <mergeCell ref="AR85:AR87"/>
    <mergeCell ref="BI85:BI87"/>
    <mergeCell ref="AY86:AY87"/>
    <mergeCell ref="BB86:BB87"/>
    <mergeCell ref="BI81:BI84"/>
    <mergeCell ref="AQ91:BJ93"/>
    <mergeCell ref="X95:AC95"/>
    <mergeCell ref="AH95:AM95"/>
    <mergeCell ref="AS95:AX95"/>
    <mergeCell ref="BC95:BH95"/>
    <mergeCell ref="AR115:AR117"/>
    <mergeCell ref="BI115:BI117"/>
    <mergeCell ref="AY116:AY117"/>
    <mergeCell ref="BB116:BB117"/>
    <mergeCell ref="BI97:BI99"/>
    <mergeCell ref="AN100:AN103"/>
    <mergeCell ref="AR100:AR103"/>
    <mergeCell ref="BI100:BI103"/>
    <mergeCell ref="AE97:AF117"/>
    <mergeCell ref="AN97:AN99"/>
    <mergeCell ref="AR97:AR99"/>
    <mergeCell ref="AZ97:BA117"/>
    <mergeCell ref="AN111:AN114"/>
    <mergeCell ref="AR111:AR114"/>
    <mergeCell ref="Z111:AA111"/>
    <mergeCell ref="BI108:BI110"/>
    <mergeCell ref="AR108:AR110"/>
    <mergeCell ref="AN108:AN110"/>
    <mergeCell ref="BI111:BI114"/>
    <mergeCell ref="AY113:AY115"/>
    <mergeCell ref="BB113:BB115"/>
    <mergeCell ref="W115:W117"/>
    <mergeCell ref="AN115:AN117"/>
    <mergeCell ref="W111:W114"/>
    <mergeCell ref="W104:W107"/>
    <mergeCell ref="AN104:AN107"/>
    <mergeCell ref="AG112:AG114"/>
    <mergeCell ref="AD112:AD114"/>
    <mergeCell ref="V67:V87"/>
    <mergeCell ref="AO67:AO87"/>
    <mergeCell ref="W74:W80"/>
    <mergeCell ref="AN74:AN80"/>
    <mergeCell ref="V7:V27"/>
    <mergeCell ref="AO7:AO27"/>
    <mergeCell ref="V97:V117"/>
    <mergeCell ref="AO97:AO117"/>
    <mergeCell ref="AJ111:AK111"/>
    <mergeCell ref="V91:AO93"/>
    <mergeCell ref="W100:W103"/>
    <mergeCell ref="W97:W99"/>
    <mergeCell ref="AA89:AE89"/>
    <mergeCell ref="W85:W87"/>
    <mergeCell ref="W81:W84"/>
    <mergeCell ref="AD82:AD84"/>
    <mergeCell ref="AG82:AG84"/>
    <mergeCell ref="AA59:AE59"/>
    <mergeCell ref="W108:W110"/>
    <mergeCell ref="W70:W73"/>
    <mergeCell ref="V31:AO33"/>
    <mergeCell ref="A1:T3"/>
    <mergeCell ref="C5:H5"/>
    <mergeCell ref="M5:R5"/>
    <mergeCell ref="A7:A27"/>
    <mergeCell ref="B7:B9"/>
    <mergeCell ref="J7:K27"/>
    <mergeCell ref="S7:S9"/>
    <mergeCell ref="T7:T27"/>
    <mergeCell ref="E21:F21"/>
    <mergeCell ref="O21:P21"/>
    <mergeCell ref="B25:B27"/>
    <mergeCell ref="I25:I27"/>
    <mergeCell ref="L25:L27"/>
    <mergeCell ref="S25:S27"/>
    <mergeCell ref="F29:J29"/>
    <mergeCell ref="A31:T33"/>
    <mergeCell ref="C35:H35"/>
    <mergeCell ref="M35:R35"/>
    <mergeCell ref="B37:B39"/>
    <mergeCell ref="J37:K57"/>
    <mergeCell ref="S37:S39"/>
    <mergeCell ref="B40:B46"/>
    <mergeCell ref="B47:B54"/>
    <mergeCell ref="S47:S54"/>
    <mergeCell ref="E51:F51"/>
    <mergeCell ref="O51:P51"/>
    <mergeCell ref="B55:B57"/>
    <mergeCell ref="S55:S57"/>
    <mergeCell ref="F59:J59"/>
    <mergeCell ref="A61:T63"/>
    <mergeCell ref="C65:H65"/>
    <mergeCell ref="M65:R65"/>
    <mergeCell ref="A67:A87"/>
    <mergeCell ref="B67:B69"/>
    <mergeCell ref="J67:K87"/>
    <mergeCell ref="S67:S69"/>
    <mergeCell ref="T67:T87"/>
    <mergeCell ref="B70:B73"/>
    <mergeCell ref="S70:S73"/>
    <mergeCell ref="B74:B80"/>
    <mergeCell ref="S74:S80"/>
    <mergeCell ref="B81:B84"/>
    <mergeCell ref="E81:F81"/>
    <mergeCell ref="O81:P81"/>
    <mergeCell ref="S81:S84"/>
    <mergeCell ref="I82:I84"/>
    <mergeCell ref="L82:L84"/>
    <mergeCell ref="B85:B87"/>
    <mergeCell ref="S85:S87"/>
    <mergeCell ref="F119:J119"/>
    <mergeCell ref="F89:J89"/>
    <mergeCell ref="A91:T93"/>
    <mergeCell ref="C95:H95"/>
    <mergeCell ref="M95:R95"/>
    <mergeCell ref="A97:A117"/>
    <mergeCell ref="B97:B99"/>
    <mergeCell ref="J97:K117"/>
    <mergeCell ref="S97:S99"/>
    <mergeCell ref="T97:T117"/>
    <mergeCell ref="B100:B103"/>
    <mergeCell ref="S100:S103"/>
    <mergeCell ref="B104:B107"/>
    <mergeCell ref="S104:S107"/>
    <mergeCell ref="B108:B110"/>
    <mergeCell ref="S108:S110"/>
    <mergeCell ref="B111:B114"/>
    <mergeCell ref="E111:F111"/>
    <mergeCell ref="O111:P111"/>
    <mergeCell ref="S111:S114"/>
    <mergeCell ref="I112:I114"/>
    <mergeCell ref="L112:L114"/>
    <mergeCell ref="B115:B117"/>
    <mergeCell ref="S115:S117"/>
  </mergeCells>
  <pageMargins left="0.7" right="0.7" top="0.75" bottom="0.75" header="0.3" footer="0.3"/>
  <pageSetup paperSize="9" scale="76" orientation="portrait" r:id="rId1"/>
  <rowBreaks count="3" manualBreakCount="3">
    <brk id="30" max="16383" man="1"/>
    <brk id="60" max="16383" man="1"/>
    <brk id="90" max="16383" man="1"/>
  </rowBreaks>
  <colBreaks count="1" manualBreakCount="1">
    <brk id="41"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3"/>
  <dimension ref="A1:P127"/>
  <sheetViews>
    <sheetView zoomScaleNormal="100" workbookViewId="0">
      <selection activeCell="C1" sqref="C1:D1048576"/>
    </sheetView>
  </sheetViews>
  <sheetFormatPr defaultColWidth="8.85546875" defaultRowHeight="15"/>
  <cols>
    <col min="1" max="1" width="45.7109375" customWidth="1"/>
    <col min="2" max="2" width="27.85546875" customWidth="1"/>
    <col min="3" max="3" width="15.7109375" style="124" hidden="1" customWidth="1"/>
    <col min="4" max="4" width="14" hidden="1" customWidth="1"/>
    <col min="5" max="5" width="8.85546875" customWidth="1"/>
  </cols>
  <sheetData>
    <row r="1" spans="1:16" ht="30" customHeight="1" thickBot="1">
      <c r="A1" s="202" t="s">
        <v>91</v>
      </c>
      <c r="B1" s="202" t="s">
        <v>0</v>
      </c>
      <c r="C1" s="313" t="s">
        <v>385</v>
      </c>
    </row>
    <row r="2" spans="1:16" ht="18.95" customHeight="1" thickBot="1">
      <c r="A2" s="667" t="s">
        <v>92</v>
      </c>
      <c r="B2" s="668"/>
      <c r="C2" s="669"/>
      <c r="G2" s="79"/>
      <c r="H2" s="18"/>
    </row>
    <row r="3" spans="1:16" ht="14.25" customHeight="1" thickBot="1">
      <c r="A3" s="41" t="s">
        <v>169</v>
      </c>
      <c r="B3" s="165" t="s">
        <v>3</v>
      </c>
      <c r="C3" s="413">
        <f>7.0834*1.07462</f>
        <v>7.6119633079999991</v>
      </c>
      <c r="G3" s="79"/>
      <c r="H3" s="18"/>
    </row>
    <row r="4" spans="1:16" ht="14.25" customHeight="1" thickBot="1">
      <c r="A4" s="1" t="s">
        <v>169</v>
      </c>
      <c r="B4" s="165" t="s">
        <v>4</v>
      </c>
      <c r="C4" s="413">
        <f>7.0834*1.07462</f>
        <v>7.6119633079999991</v>
      </c>
      <c r="G4" s="79"/>
      <c r="H4" s="18"/>
    </row>
    <row r="5" spans="1:16" ht="14.25" customHeight="1" thickBot="1">
      <c r="A5" s="1" t="s">
        <v>169</v>
      </c>
      <c r="B5" s="165" t="s">
        <v>2</v>
      </c>
      <c r="C5" s="413">
        <f>7.0834*1.07462</f>
        <v>7.6119633079999991</v>
      </c>
      <c r="G5" s="170"/>
      <c r="H5" s="170"/>
      <c r="I5" s="170"/>
      <c r="J5" s="170"/>
      <c r="K5" s="170"/>
      <c r="L5" s="170"/>
      <c r="M5" s="170"/>
      <c r="N5" s="170"/>
      <c r="O5" s="170"/>
      <c r="P5" s="170"/>
    </row>
    <row r="6" spans="1:16" ht="14.25" customHeight="1" thickBot="1">
      <c r="A6" s="1" t="s">
        <v>169</v>
      </c>
      <c r="B6" s="165" t="s">
        <v>5</v>
      </c>
      <c r="C6" s="413">
        <f>7.0834*1.07462</f>
        <v>7.6119633079999991</v>
      </c>
      <c r="G6" s="170"/>
      <c r="H6" s="170"/>
      <c r="I6" s="170"/>
      <c r="J6" s="170"/>
      <c r="K6" s="170"/>
      <c r="L6" s="170"/>
      <c r="M6" s="170"/>
      <c r="N6" s="170"/>
      <c r="O6" s="170"/>
      <c r="P6" s="170"/>
    </row>
    <row r="7" spans="1:16" ht="14.25" customHeight="1" thickBot="1">
      <c r="A7" s="1" t="s">
        <v>169</v>
      </c>
      <c r="B7" s="165" t="s">
        <v>8</v>
      </c>
      <c r="C7" s="413">
        <f>1.07462*8.417</f>
        <v>9.0450765399999984</v>
      </c>
      <c r="G7" s="170"/>
      <c r="H7" s="170"/>
      <c r="I7" s="170"/>
      <c r="J7" s="170"/>
      <c r="K7" s="170"/>
      <c r="L7" s="170"/>
      <c r="M7" s="170"/>
      <c r="N7" s="170"/>
      <c r="O7" s="170"/>
      <c r="P7" s="170"/>
    </row>
    <row r="8" spans="1:16" ht="14.25" customHeight="1" thickBot="1">
      <c r="A8" s="1" t="s">
        <v>169</v>
      </c>
      <c r="B8" s="165" t="s">
        <v>181</v>
      </c>
      <c r="C8" s="413">
        <f>1.07462*8.417</f>
        <v>9.0450765399999984</v>
      </c>
      <c r="G8" s="15"/>
      <c r="H8" s="18"/>
    </row>
    <row r="9" spans="1:16" ht="14.25" customHeight="1" thickBot="1">
      <c r="A9" s="1" t="s">
        <v>169</v>
      </c>
      <c r="B9" s="165" t="s">
        <v>9</v>
      </c>
      <c r="C9" s="413">
        <f>1.07462*9.4301</f>
        <v>10.133774061999999</v>
      </c>
      <c r="G9" s="15"/>
      <c r="H9" s="18"/>
    </row>
    <row r="10" spans="1:16" ht="14.25" customHeight="1" thickBot="1">
      <c r="A10" s="1" t="s">
        <v>169</v>
      </c>
      <c r="B10" s="165" t="s">
        <v>225</v>
      </c>
      <c r="C10" s="413">
        <f>1.07462*9.4301</f>
        <v>10.133774061999999</v>
      </c>
    </row>
    <row r="11" spans="1:16" ht="14.25" customHeight="1" thickBot="1">
      <c r="A11" s="1" t="s">
        <v>169</v>
      </c>
      <c r="B11" s="165" t="s">
        <v>221</v>
      </c>
      <c r="C11" s="413">
        <f>1.07462*9.4301</f>
        <v>10.133774061999999</v>
      </c>
    </row>
    <row r="12" spans="1:16" ht="14.25" customHeight="1" thickBot="1">
      <c r="A12" s="1" t="s">
        <v>169</v>
      </c>
      <c r="B12" s="165" t="s">
        <v>6</v>
      </c>
      <c r="C12" s="413">
        <f>1.07462*8.9365</f>
        <v>9.6033416299999992</v>
      </c>
    </row>
    <row r="13" spans="1:16" ht="14.25" customHeight="1" thickBot="1">
      <c r="A13" s="414" t="s">
        <v>169</v>
      </c>
      <c r="B13" s="165" t="s">
        <v>23</v>
      </c>
      <c r="C13" s="409">
        <f>1.07462*8.2091</f>
        <v>8.8216630419999991</v>
      </c>
    </row>
    <row r="14" spans="1:16" ht="18.95" customHeight="1" thickBot="1">
      <c r="A14" s="667" t="s">
        <v>182</v>
      </c>
      <c r="B14" s="668"/>
      <c r="C14" s="669"/>
    </row>
    <row r="15" spans="1:16" ht="14.25" customHeight="1" thickBot="1">
      <c r="A15" s="165" t="s">
        <v>178</v>
      </c>
      <c r="B15" s="165" t="s">
        <v>3</v>
      </c>
      <c r="C15" s="402">
        <f>1.07462*7.283</f>
        <v>7.8264574599999994</v>
      </c>
    </row>
    <row r="16" spans="1:16" ht="14.25" customHeight="1" thickBot="1">
      <c r="A16" s="165" t="s">
        <v>178</v>
      </c>
      <c r="B16" s="165" t="s">
        <v>181</v>
      </c>
      <c r="C16" s="402">
        <f>1.07462*8.4689</f>
        <v>9.1008493179999981</v>
      </c>
    </row>
    <row r="17" spans="1:3" ht="14.25" customHeight="1" thickBot="1">
      <c r="A17" s="165" t="s">
        <v>178</v>
      </c>
      <c r="B17" s="165" t="s">
        <v>225</v>
      </c>
      <c r="C17" s="402">
        <f>1.07462*9.6855</f>
        <v>10.408232009999999</v>
      </c>
    </row>
    <row r="18" spans="1:3" ht="14.25" customHeight="1" thickBot="1">
      <c r="A18" s="165" t="s">
        <v>178</v>
      </c>
      <c r="B18" s="165" t="s">
        <v>221</v>
      </c>
      <c r="C18" s="402">
        <f>1.07462*9.6855</f>
        <v>10.408232009999999</v>
      </c>
    </row>
    <row r="19" spans="1:3" ht="14.25" customHeight="1" thickBot="1">
      <c r="A19" s="165" t="s">
        <v>178</v>
      </c>
      <c r="B19" s="165" t="s">
        <v>6</v>
      </c>
      <c r="C19" s="409">
        <f>1.07462*8.7244</f>
        <v>9.3754147279999991</v>
      </c>
    </row>
    <row r="20" spans="1:3" s="42" customFormat="1" ht="18.95" customHeight="1" thickBot="1">
      <c r="A20" s="667" t="s">
        <v>93</v>
      </c>
      <c r="B20" s="668"/>
      <c r="C20" s="669"/>
    </row>
    <row r="21" spans="1:3" ht="14.25" customHeight="1" thickBot="1">
      <c r="A21" s="165" t="s">
        <v>170</v>
      </c>
      <c r="B21" s="165" t="s">
        <v>3</v>
      </c>
      <c r="C21" s="413">
        <f>1.07462*11.4996</f>
        <v>12.357700151999998</v>
      </c>
    </row>
    <row r="22" spans="1:3" ht="14.25" customHeight="1" thickBot="1">
      <c r="A22" s="165" t="s">
        <v>170</v>
      </c>
      <c r="B22" s="168" t="s">
        <v>4</v>
      </c>
      <c r="C22" s="413">
        <f>1.07462*11.4996</f>
        <v>12.357700151999998</v>
      </c>
    </row>
    <row r="23" spans="1:3" ht="14.25" customHeight="1" thickBot="1">
      <c r="A23" s="165" t="s">
        <v>170</v>
      </c>
      <c r="B23" s="165" t="s">
        <v>2</v>
      </c>
      <c r="C23" s="413">
        <f>1.07462*11.4996</f>
        <v>12.357700151999998</v>
      </c>
    </row>
    <row r="24" spans="1:3" ht="14.25" customHeight="1" thickBot="1">
      <c r="A24" s="165" t="s">
        <v>170</v>
      </c>
      <c r="B24" s="165" t="s">
        <v>8</v>
      </c>
      <c r="C24" s="413">
        <f>1.07462*13.8246</f>
        <v>14.856191652</v>
      </c>
    </row>
    <row r="25" spans="1:3" ht="14.25" customHeight="1" thickBot="1">
      <c r="A25" s="165" t="s">
        <v>170</v>
      </c>
      <c r="B25" s="165" t="s">
        <v>181</v>
      </c>
      <c r="C25" s="413">
        <f>1.07462*13.8246</f>
        <v>14.856191652</v>
      </c>
    </row>
    <row r="26" spans="1:3" ht="14.25" customHeight="1" thickBot="1">
      <c r="A26" s="165" t="s">
        <v>170</v>
      </c>
      <c r="B26" s="165" t="s">
        <v>5</v>
      </c>
      <c r="C26" s="413">
        <f>1.07462*11.4996</f>
        <v>12.357700151999998</v>
      </c>
    </row>
    <row r="27" spans="1:3" ht="14.25" customHeight="1" thickBot="1">
      <c r="A27" s="165" t="s">
        <v>170</v>
      </c>
      <c r="B27" s="165" t="s">
        <v>9</v>
      </c>
      <c r="C27" s="413">
        <f>1.07462*15.5565</f>
        <v>16.717326029999999</v>
      </c>
    </row>
    <row r="28" spans="1:3" ht="14.25" customHeight="1" thickBot="1">
      <c r="A28" s="165" t="s">
        <v>170</v>
      </c>
      <c r="B28" s="165" t="s">
        <v>225</v>
      </c>
      <c r="C28" s="413">
        <f>1.07462*15.5565</f>
        <v>16.717326029999999</v>
      </c>
    </row>
    <row r="29" spans="1:3" ht="14.25" customHeight="1" thickBot="1">
      <c r="A29" s="165" t="s">
        <v>170</v>
      </c>
      <c r="B29" s="165" t="s">
        <v>221</v>
      </c>
      <c r="C29" s="413">
        <f>1.07462*15.5565</f>
        <v>16.717326029999999</v>
      </c>
    </row>
    <row r="30" spans="1:3" ht="14.25" customHeight="1" thickBot="1">
      <c r="A30" s="165" t="s">
        <v>170</v>
      </c>
      <c r="B30" s="165" t="s">
        <v>6</v>
      </c>
      <c r="C30" s="413">
        <f>1.07462*15.5565</f>
        <v>16.717326029999999</v>
      </c>
    </row>
    <row r="31" spans="1:3" ht="14.25" customHeight="1" thickBot="1">
      <c r="A31" s="165" t="s">
        <v>170</v>
      </c>
      <c r="B31" s="165" t="s">
        <v>23</v>
      </c>
      <c r="C31" s="409">
        <f>1.07462*13.4956</f>
        <v>14.502641671999998</v>
      </c>
    </row>
    <row r="32" spans="1:3" s="42" customFormat="1" ht="18.95" customHeight="1" thickBot="1">
      <c r="A32" s="667" t="s">
        <v>183</v>
      </c>
      <c r="B32" s="668"/>
      <c r="C32" s="669"/>
    </row>
    <row r="33" spans="1:3" ht="14.25" customHeight="1" thickBot="1">
      <c r="A33" s="410" t="s">
        <v>179</v>
      </c>
      <c r="B33" s="410" t="s">
        <v>3</v>
      </c>
      <c r="C33" s="402">
        <f>1.07462*6.8063</f>
        <v>7.3141861059999993</v>
      </c>
    </row>
    <row r="34" spans="1:3" ht="14.25" customHeight="1" thickBot="1">
      <c r="A34" s="165" t="s">
        <v>179</v>
      </c>
      <c r="B34" s="165" t="s">
        <v>181</v>
      </c>
      <c r="C34" s="402">
        <f>1.07462*7.7632</f>
        <v>8.3424899840000002</v>
      </c>
    </row>
    <row r="35" spans="1:3" ht="14.25" customHeight="1" thickBot="1">
      <c r="A35" s="165" t="s">
        <v>179</v>
      </c>
      <c r="B35" s="165" t="s">
        <v>221</v>
      </c>
      <c r="C35" s="402">
        <f>1.07462*9.0404</f>
        <v>9.7149946479999993</v>
      </c>
    </row>
    <row r="36" spans="1:3" ht="14.25" customHeight="1" thickBot="1">
      <c r="A36" s="165" t="s">
        <v>179</v>
      </c>
      <c r="B36" s="165" t="s">
        <v>6</v>
      </c>
      <c r="C36" s="409">
        <f>1.07462*8.0359</f>
        <v>8.6355388579999985</v>
      </c>
    </row>
    <row r="37" spans="1:3" s="42" customFormat="1" ht="18.95" customHeight="1" thickBot="1">
      <c r="A37" s="667" t="s">
        <v>94</v>
      </c>
      <c r="B37" s="668"/>
      <c r="C37" s="669"/>
    </row>
    <row r="38" spans="1:3" ht="14.25" customHeight="1" thickBot="1">
      <c r="A38" s="165" t="s">
        <v>171</v>
      </c>
      <c r="B38" s="410" t="s">
        <v>3</v>
      </c>
      <c r="C38" s="408">
        <f>1.07462*10.3653</f>
        <v>11.138758685999999</v>
      </c>
    </row>
    <row r="39" spans="1:3" ht="18.95" customHeight="1" thickBot="1">
      <c r="A39" s="667" t="s">
        <v>184</v>
      </c>
      <c r="B39" s="668"/>
      <c r="C39" s="669"/>
    </row>
    <row r="40" spans="1:3" ht="14.25" customHeight="1" thickBot="1">
      <c r="A40" s="168" t="s">
        <v>180</v>
      </c>
      <c r="B40" s="410" t="s">
        <v>3</v>
      </c>
      <c r="C40" s="408">
        <f>1.07462*12.2616</f>
        <v>13.176560591999998</v>
      </c>
    </row>
    <row r="41" spans="1:3" ht="14.25" customHeight="1" thickBot="1">
      <c r="A41" s="168" t="s">
        <v>180</v>
      </c>
      <c r="B41" s="165" t="s">
        <v>181</v>
      </c>
      <c r="C41" s="402">
        <f>1.07462*14.6213</f>
        <v>15.712341405999998</v>
      </c>
    </row>
    <row r="42" spans="1:3" ht="14.25" customHeight="1" thickBot="1">
      <c r="A42" s="168" t="s">
        <v>180</v>
      </c>
      <c r="B42" s="165" t="s">
        <v>225</v>
      </c>
      <c r="C42" s="411">
        <f>1.07462*15.8292</f>
        <v>17.010374903999999</v>
      </c>
    </row>
    <row r="43" spans="1:3" ht="14.25" customHeight="1" thickBot="1">
      <c r="A43" s="168" t="s">
        <v>180</v>
      </c>
      <c r="B43" s="165" t="s">
        <v>221</v>
      </c>
      <c r="C43" s="411">
        <f>1.07462*15.8292</f>
        <v>17.010374903999999</v>
      </c>
    </row>
    <row r="44" spans="1:3" ht="14.25" customHeight="1" thickBot="1">
      <c r="A44" s="168" t="s">
        <v>180</v>
      </c>
      <c r="B44" s="168" t="s">
        <v>4</v>
      </c>
      <c r="C44" s="411">
        <f>1.07462*12.2616</f>
        <v>13.176560591999998</v>
      </c>
    </row>
    <row r="45" spans="1:3" ht="14.25" customHeight="1" thickBot="1">
      <c r="A45" s="168" t="s">
        <v>180</v>
      </c>
      <c r="B45" s="165" t="s">
        <v>2</v>
      </c>
      <c r="C45" s="411">
        <f>1.07462*11.4996</f>
        <v>12.357700151999998</v>
      </c>
    </row>
    <row r="46" spans="1:3" ht="14.25" customHeight="1" thickBot="1">
      <c r="A46" s="168" t="s">
        <v>180</v>
      </c>
      <c r="B46" s="165" t="s">
        <v>6</v>
      </c>
      <c r="C46" s="411">
        <f>1.07462*15.0066</f>
        <v>16.126392492000001</v>
      </c>
    </row>
    <row r="47" spans="1:3" ht="18.95" customHeight="1" thickBot="1">
      <c r="A47" s="667" t="s">
        <v>95</v>
      </c>
      <c r="B47" s="668"/>
      <c r="C47" s="669"/>
    </row>
    <row r="48" spans="1:3" ht="14.25" customHeight="1" thickBot="1">
      <c r="A48" s="168" t="s">
        <v>172</v>
      </c>
      <c r="B48" s="410" t="s">
        <v>3</v>
      </c>
      <c r="C48" s="413">
        <f>1.07462*10.0709</f>
        <v>10.822390557999999</v>
      </c>
    </row>
    <row r="49" spans="1:3" ht="14.25" customHeight="1" thickBot="1">
      <c r="A49" s="168" t="s">
        <v>172</v>
      </c>
      <c r="B49" s="168" t="s">
        <v>4</v>
      </c>
      <c r="C49" s="413">
        <f>1.07462*10.0709</f>
        <v>10.822390557999999</v>
      </c>
    </row>
    <row r="50" spans="1:3" ht="14.25" customHeight="1" thickBot="1">
      <c r="A50" s="168" t="s">
        <v>172</v>
      </c>
      <c r="B50" s="165" t="s">
        <v>2</v>
      </c>
      <c r="C50" s="413">
        <f>1.07462*10.0709</f>
        <v>10.822390557999999</v>
      </c>
    </row>
    <row r="51" spans="1:3" ht="14.25" customHeight="1" thickBot="1">
      <c r="A51" s="168" t="s">
        <v>172</v>
      </c>
      <c r="B51" s="165" t="s">
        <v>5</v>
      </c>
      <c r="C51" s="413">
        <f>1.07462*10.0709</f>
        <v>10.822390557999999</v>
      </c>
    </row>
    <row r="52" spans="1:3" ht="14.25" customHeight="1" thickBot="1">
      <c r="A52" s="168" t="s">
        <v>172</v>
      </c>
      <c r="B52" s="165" t="s">
        <v>8</v>
      </c>
      <c r="C52" s="413">
        <f>1.07462*12.0798</f>
        <v>12.981194675999999</v>
      </c>
    </row>
    <row r="53" spans="1:3" ht="14.25" customHeight="1" thickBot="1">
      <c r="A53" s="168" t="s">
        <v>172</v>
      </c>
      <c r="B53" s="165" t="s">
        <v>181</v>
      </c>
      <c r="C53" s="413">
        <f>1.07462*12.0798</f>
        <v>12.981194675999999</v>
      </c>
    </row>
    <row r="54" spans="1:3" ht="14.25" customHeight="1" thickBot="1">
      <c r="A54" s="168" t="s">
        <v>172</v>
      </c>
      <c r="B54" s="165" t="s">
        <v>221</v>
      </c>
      <c r="C54" s="413">
        <f>1.07462*13.5648</f>
        <v>14.577005375999999</v>
      </c>
    </row>
    <row r="55" spans="1:3" ht="14.25" customHeight="1" thickBot="1">
      <c r="A55" s="168" t="s">
        <v>172</v>
      </c>
      <c r="B55" s="165" t="s">
        <v>225</v>
      </c>
      <c r="C55" s="413">
        <f>1.07462*13.5648</f>
        <v>14.577005375999999</v>
      </c>
    </row>
    <row r="56" spans="1:3" ht="14.25" customHeight="1" thickBot="1">
      <c r="A56" s="168" t="s">
        <v>172</v>
      </c>
      <c r="B56" s="165" t="s">
        <v>23</v>
      </c>
      <c r="C56" s="413">
        <f>1.07462*11.3611</f>
        <v>12.208865282</v>
      </c>
    </row>
    <row r="57" spans="1:3" ht="14.25" customHeight="1" thickBot="1">
      <c r="A57" s="168" t="s">
        <v>172</v>
      </c>
      <c r="B57" s="165" t="s">
        <v>6</v>
      </c>
      <c r="C57" s="413">
        <f>1.07462*12.8721</f>
        <v>13.832616101999998</v>
      </c>
    </row>
    <row r="58" spans="1:3" ht="18.95" customHeight="1" thickBot="1">
      <c r="A58" s="667" t="s">
        <v>96</v>
      </c>
      <c r="B58" s="668"/>
      <c r="C58" s="669"/>
    </row>
    <row r="59" spans="1:3" ht="14.25" customHeight="1" thickBot="1">
      <c r="A59" s="168" t="s">
        <v>173</v>
      </c>
      <c r="B59" s="410" t="s">
        <v>3</v>
      </c>
      <c r="C59" s="402">
        <f>1.07462*10.8805</f>
        <v>11.692402909999998</v>
      </c>
    </row>
    <row r="60" spans="1:3" ht="14.25" customHeight="1" thickBot="1">
      <c r="A60" s="168" t="s">
        <v>173</v>
      </c>
      <c r="B60" s="165" t="s">
        <v>181</v>
      </c>
      <c r="C60" s="402">
        <f>1.07462*13.6904</f>
        <v>14.711977648</v>
      </c>
    </row>
    <row r="61" spans="1:3" ht="14.25" customHeight="1" thickBot="1">
      <c r="A61" s="168" t="s">
        <v>173</v>
      </c>
      <c r="B61" s="165" t="s">
        <v>225</v>
      </c>
      <c r="C61" s="413">
        <f>1.07462*14.8637</f>
        <v>15.972829293999999</v>
      </c>
    </row>
    <row r="62" spans="1:3" ht="14.25" customHeight="1" thickBot="1">
      <c r="A62" s="168" t="s">
        <v>173</v>
      </c>
      <c r="B62" s="165" t="s">
        <v>221</v>
      </c>
      <c r="C62" s="413">
        <f>1.07462*14.8637</f>
        <v>15.972829293999999</v>
      </c>
    </row>
    <row r="63" spans="1:3" ht="14.25" customHeight="1" thickBot="1">
      <c r="A63" s="168" t="s">
        <v>173</v>
      </c>
      <c r="B63" s="165" t="s">
        <v>6</v>
      </c>
      <c r="C63" s="413">
        <f>1.07462*14.8637</f>
        <v>15.972829293999999</v>
      </c>
    </row>
    <row r="64" spans="1:3" ht="14.25" customHeight="1" thickBot="1">
      <c r="A64" s="168" t="s">
        <v>173</v>
      </c>
      <c r="B64" s="168" t="s">
        <v>4</v>
      </c>
      <c r="C64" s="413">
        <f>1.07462*10.8805</f>
        <v>11.692402909999998</v>
      </c>
    </row>
    <row r="65" spans="1:5" ht="14.25" customHeight="1" thickBot="1">
      <c r="A65" s="168" t="s">
        <v>173</v>
      </c>
      <c r="B65" s="165" t="s">
        <v>2</v>
      </c>
      <c r="C65" s="413">
        <f>1.07462*10.8805</f>
        <v>11.692402909999998</v>
      </c>
    </row>
    <row r="66" spans="1:5" ht="14.25" customHeight="1" thickBot="1">
      <c r="A66" s="168" t="s">
        <v>173</v>
      </c>
      <c r="B66" s="165" t="s">
        <v>5</v>
      </c>
      <c r="C66" s="413">
        <f>1.07462*10.8805</f>
        <v>11.692402909999998</v>
      </c>
    </row>
    <row r="67" spans="1:5" ht="14.25" customHeight="1" thickBot="1">
      <c r="A67" s="168" t="s">
        <v>173</v>
      </c>
      <c r="B67" s="165" t="s">
        <v>8</v>
      </c>
      <c r="C67" s="409">
        <f>1.07462*13.0362</f>
        <v>14.008961243999998</v>
      </c>
    </row>
    <row r="68" spans="1:5" ht="14.25" customHeight="1" thickBot="1">
      <c r="A68" s="168" t="s">
        <v>173</v>
      </c>
      <c r="B68" s="165" t="s">
        <v>9</v>
      </c>
      <c r="C68" s="409">
        <f>1.07462*14.7165</f>
        <v>15.814645229999998</v>
      </c>
    </row>
    <row r="69" spans="1:5" ht="14.25" customHeight="1" thickBot="1">
      <c r="A69" s="168" t="s">
        <v>173</v>
      </c>
      <c r="B69" s="165" t="s">
        <v>23</v>
      </c>
      <c r="C69" s="409">
        <f>1.07462*13.6904</f>
        <v>14.711977648</v>
      </c>
    </row>
    <row r="70" spans="1:5" ht="18.95" customHeight="1" thickBot="1">
      <c r="A70" s="667" t="s">
        <v>289</v>
      </c>
      <c r="B70" s="668"/>
      <c r="C70" s="669"/>
    </row>
    <row r="71" spans="1:5" ht="14.25" customHeight="1" thickBot="1">
      <c r="A71" s="168" t="s">
        <v>290</v>
      </c>
      <c r="B71" s="410" t="s">
        <v>3</v>
      </c>
      <c r="C71" s="413">
        <v>50.623100000000001</v>
      </c>
      <c r="D71" s="300" t="s">
        <v>357</v>
      </c>
      <c r="E71" s="300">
        <v>2.85</v>
      </c>
    </row>
    <row r="72" spans="1:5" ht="14.25" customHeight="1" thickBot="1">
      <c r="A72" s="168" t="s">
        <v>290</v>
      </c>
      <c r="B72" s="165" t="s">
        <v>221</v>
      </c>
      <c r="C72" s="413">
        <v>65.763499999999993</v>
      </c>
      <c r="D72" s="300" t="s">
        <v>357</v>
      </c>
      <c r="E72" s="300">
        <v>2.85</v>
      </c>
    </row>
    <row r="73" spans="1:5" ht="14.25" customHeight="1" thickBot="1">
      <c r="A73" s="168" t="s">
        <v>290</v>
      </c>
      <c r="B73" s="165" t="s">
        <v>6</v>
      </c>
      <c r="C73" s="413">
        <v>64.8874</v>
      </c>
      <c r="D73" s="300" t="s">
        <v>357</v>
      </c>
      <c r="E73" s="300">
        <v>2.85</v>
      </c>
    </row>
    <row r="74" spans="1:5" ht="18.95" customHeight="1" thickBot="1">
      <c r="A74" s="667" t="s">
        <v>97</v>
      </c>
      <c r="B74" s="668"/>
      <c r="C74" s="669"/>
    </row>
    <row r="75" spans="1:5" ht="14.25" customHeight="1" thickBot="1">
      <c r="A75" s="168" t="s">
        <v>174</v>
      </c>
      <c r="B75" s="410" t="s">
        <v>3</v>
      </c>
      <c r="C75" s="408">
        <f>1.07462*10.9887</f>
        <v>11.808676793999998</v>
      </c>
    </row>
    <row r="76" spans="1:5" ht="14.25" customHeight="1" thickBot="1">
      <c r="A76" s="168" t="s">
        <v>174</v>
      </c>
      <c r="B76" s="165" t="s">
        <v>181</v>
      </c>
      <c r="C76" s="402">
        <f>1.07462*13.7294</f>
        <v>14.753887827999998</v>
      </c>
    </row>
    <row r="77" spans="1:5" ht="14.25" customHeight="1" thickBot="1">
      <c r="A77" s="168" t="s">
        <v>174</v>
      </c>
      <c r="B77" s="165" t="s">
        <v>225</v>
      </c>
      <c r="C77" s="411">
        <f>1.07462*14.9157</f>
        <v>16.028709533999997</v>
      </c>
    </row>
    <row r="78" spans="1:5" ht="14.25" customHeight="1" thickBot="1">
      <c r="A78" s="168" t="s">
        <v>174</v>
      </c>
      <c r="B78" s="165" t="s">
        <v>221</v>
      </c>
      <c r="C78" s="411">
        <f>1.07462*14.9157</f>
        <v>16.028709533999997</v>
      </c>
    </row>
    <row r="79" spans="1:5" ht="14.25" customHeight="1" thickBot="1">
      <c r="A79" s="412" t="s">
        <v>174</v>
      </c>
      <c r="B79" s="165" t="s">
        <v>6</v>
      </c>
      <c r="C79" s="411">
        <f>1.07462*14.1537</f>
        <v>15.209849093999999</v>
      </c>
    </row>
    <row r="80" spans="1:5" ht="18.95" customHeight="1" thickBot="1">
      <c r="A80" s="670" t="s">
        <v>83</v>
      </c>
      <c r="B80" s="671"/>
      <c r="C80" s="672"/>
    </row>
    <row r="81" spans="1:6" ht="14.25" customHeight="1" thickBot="1">
      <c r="A81" s="673" t="s">
        <v>98</v>
      </c>
      <c r="B81" s="674"/>
      <c r="C81" s="443">
        <v>13.13</v>
      </c>
    </row>
    <row r="82" spans="1:6" ht="14.25" customHeight="1" thickBot="1">
      <c r="A82" s="675" t="s">
        <v>190</v>
      </c>
      <c r="B82" s="676"/>
      <c r="C82" s="444">
        <v>29.7</v>
      </c>
    </row>
    <row r="83" spans="1:6" ht="18.95" customHeight="1" thickBot="1">
      <c r="A83" s="670" t="s">
        <v>81</v>
      </c>
      <c r="B83" s="671"/>
      <c r="C83" s="672"/>
    </row>
    <row r="84" spans="1:6" ht="18.95" customHeight="1" thickBot="1">
      <c r="A84" s="667" t="s">
        <v>116</v>
      </c>
      <c r="B84" s="668"/>
      <c r="C84" s="669"/>
    </row>
    <row r="85" spans="1:6" ht="14.25" customHeight="1" thickBot="1">
      <c r="A85" s="665" t="s">
        <v>191</v>
      </c>
      <c r="B85" s="666"/>
      <c r="C85" s="402">
        <f>1.03*14.8366</f>
        <v>15.281698</v>
      </c>
    </row>
    <row r="86" spans="1:6" ht="14.25" customHeight="1" thickBot="1">
      <c r="A86" s="665" t="s">
        <v>192</v>
      </c>
      <c r="B86" s="666"/>
      <c r="C86" s="402">
        <f>1.03*7.4633</f>
        <v>7.6871990000000006</v>
      </c>
      <c r="D86" s="169"/>
      <c r="F86" s="133"/>
    </row>
    <row r="87" spans="1:6" ht="14.25" customHeight="1" thickBot="1">
      <c r="A87" s="665" t="s">
        <v>193</v>
      </c>
      <c r="B87" s="666"/>
      <c r="C87" s="402">
        <f>1.03*8.5159</f>
        <v>8.7713770000000011</v>
      </c>
      <c r="D87" s="169"/>
      <c r="F87" s="133"/>
    </row>
    <row r="88" spans="1:6" ht="14.25" customHeight="1" thickBot="1">
      <c r="A88" s="665" t="s">
        <v>194</v>
      </c>
      <c r="B88" s="666"/>
      <c r="C88" s="402">
        <f>1.03*7.7673</f>
        <v>8.0003189999999993</v>
      </c>
      <c r="D88" s="169"/>
      <c r="F88" s="133"/>
    </row>
    <row r="89" spans="1:6" ht="14.25" customHeight="1" thickBot="1">
      <c r="A89" s="665" t="s">
        <v>273</v>
      </c>
      <c r="B89" s="666"/>
      <c r="C89" s="402">
        <f>1.03*8.5159</f>
        <v>8.7713770000000011</v>
      </c>
      <c r="D89" s="169"/>
      <c r="F89" s="133"/>
    </row>
    <row r="90" spans="1:6" ht="14.25" customHeight="1" thickBot="1">
      <c r="A90" s="665" t="s">
        <v>195</v>
      </c>
      <c r="B90" s="666"/>
      <c r="C90" s="402">
        <f>1.03*14.8704</f>
        <v>15.316512000000001</v>
      </c>
      <c r="D90" s="169"/>
      <c r="F90" s="133"/>
    </row>
    <row r="91" spans="1:6" ht="14.25" customHeight="1" thickBot="1">
      <c r="A91" s="665" t="s">
        <v>196</v>
      </c>
      <c r="B91" s="666"/>
      <c r="C91" s="402">
        <f>1.03*8.2739</f>
        <v>8.5221169999999997</v>
      </c>
      <c r="D91" s="169"/>
      <c r="F91" s="133"/>
    </row>
    <row r="92" spans="1:6" ht="14.25" customHeight="1" thickBot="1">
      <c r="A92" s="665" t="s">
        <v>197</v>
      </c>
      <c r="B92" s="666"/>
      <c r="C92" s="402">
        <f>1.03*15.4333</f>
        <v>15.896298999999999</v>
      </c>
      <c r="D92" s="169"/>
      <c r="F92" s="133"/>
    </row>
    <row r="93" spans="1:6" ht="14.25" customHeight="1" thickBot="1">
      <c r="A93" s="665" t="s">
        <v>198</v>
      </c>
      <c r="B93" s="666"/>
      <c r="C93" s="408">
        <f>1.03*8.3639</f>
        <v>8.6148169999999986</v>
      </c>
      <c r="D93" s="169"/>
      <c r="F93" s="133"/>
    </row>
    <row r="94" spans="1:6" ht="18.95" customHeight="1" thickBot="1">
      <c r="A94" s="667" t="s">
        <v>117</v>
      </c>
      <c r="B94" s="668"/>
      <c r="C94" s="669"/>
      <c r="D94" s="169"/>
      <c r="F94" s="133"/>
    </row>
    <row r="95" spans="1:6" ht="14.25" customHeight="1" thickBot="1">
      <c r="A95" s="665" t="s">
        <v>199</v>
      </c>
      <c r="B95" s="666"/>
      <c r="C95" s="402">
        <f>1.03*6.5853</f>
        <v>6.7828590000000002</v>
      </c>
      <c r="D95" s="169"/>
      <c r="F95" s="133"/>
    </row>
    <row r="96" spans="1:6" ht="14.25" customHeight="1" thickBot="1">
      <c r="A96" s="665" t="s">
        <v>200</v>
      </c>
      <c r="B96" s="666"/>
      <c r="C96" s="402">
        <f>1.03*9.7373</f>
        <v>10.029418999999999</v>
      </c>
      <c r="D96" s="169"/>
      <c r="F96" s="133"/>
    </row>
    <row r="97" spans="1:6" ht="14.25" customHeight="1" thickBot="1">
      <c r="A97" s="665" t="s">
        <v>201</v>
      </c>
      <c r="B97" s="666"/>
      <c r="C97" s="402">
        <f>1.03*4.5084</f>
        <v>4.6436520000000003</v>
      </c>
      <c r="D97" s="169"/>
      <c r="F97" s="133"/>
    </row>
    <row r="98" spans="1:6" ht="14.25" customHeight="1" thickBot="1">
      <c r="A98" s="665" t="s">
        <v>202</v>
      </c>
      <c r="B98" s="666"/>
      <c r="C98" s="402">
        <f>1.03*4.8855</f>
        <v>5.0320650000000002</v>
      </c>
      <c r="D98" s="169"/>
      <c r="F98" s="133"/>
    </row>
    <row r="99" spans="1:6" ht="14.25" customHeight="1" thickBot="1">
      <c r="A99" s="665" t="s">
        <v>203</v>
      </c>
      <c r="B99" s="666"/>
      <c r="C99" s="402">
        <f>1.03*8.5384</f>
        <v>8.7945519999999995</v>
      </c>
      <c r="D99" s="169"/>
      <c r="F99" s="133"/>
    </row>
    <row r="100" spans="1:6" ht="14.25" customHeight="1" thickBot="1">
      <c r="A100" s="665" t="s">
        <v>204</v>
      </c>
      <c r="B100" s="666"/>
      <c r="C100" s="402">
        <f>1.03*9.7373</f>
        <v>10.029418999999999</v>
      </c>
      <c r="D100" s="169"/>
      <c r="F100" s="133"/>
    </row>
    <row r="101" spans="1:6" ht="14.25" customHeight="1" thickBot="1">
      <c r="A101" s="665" t="s">
        <v>205</v>
      </c>
      <c r="B101" s="666"/>
      <c r="C101" s="402">
        <f>1.03*4.5084</f>
        <v>4.6436520000000003</v>
      </c>
      <c r="D101" s="169"/>
      <c r="F101" s="133"/>
    </row>
    <row r="102" spans="1:6" ht="14.25" customHeight="1" thickBot="1">
      <c r="A102" s="665" t="s">
        <v>206</v>
      </c>
      <c r="B102" s="666"/>
      <c r="C102" s="402">
        <f>1.03*4.8855</f>
        <v>5.0320650000000002</v>
      </c>
      <c r="D102" s="169"/>
      <c r="F102" s="133"/>
    </row>
    <row r="103" spans="1:6" ht="14.25" customHeight="1" thickBot="1">
      <c r="A103" s="665" t="s">
        <v>207</v>
      </c>
      <c r="B103" s="666"/>
      <c r="C103" s="402">
        <f>1.03*8.6003</f>
        <v>8.8583090000000002</v>
      </c>
      <c r="D103" s="169"/>
      <c r="F103" s="133"/>
    </row>
    <row r="104" spans="1:6" ht="14.25" customHeight="1" thickBot="1">
      <c r="A104" s="665" t="s">
        <v>208</v>
      </c>
      <c r="B104" s="666"/>
      <c r="C104" s="402">
        <f>1.03*10.3001</f>
        <v>10.609103000000001</v>
      </c>
      <c r="D104" s="169"/>
      <c r="F104" s="133"/>
    </row>
    <row r="105" spans="1:6" ht="14.25" customHeight="1" thickBot="1">
      <c r="A105" s="665" t="s">
        <v>209</v>
      </c>
      <c r="B105" s="666"/>
      <c r="C105" s="402">
        <f>1.03*5.2457</f>
        <v>5.4030710000000006</v>
      </c>
      <c r="D105" s="169"/>
      <c r="F105" s="133"/>
    </row>
    <row r="106" spans="1:6" ht="14.25" customHeight="1" thickBot="1">
      <c r="A106" s="665" t="s">
        <v>210</v>
      </c>
      <c r="B106" s="666"/>
      <c r="C106" s="402">
        <f>1.03*5.3752</f>
        <v>5.5364560000000003</v>
      </c>
      <c r="D106" s="169"/>
      <c r="F106" s="133"/>
    </row>
    <row r="107" spans="1:6" ht="18.95" customHeight="1" thickBot="1">
      <c r="A107" s="667" t="s">
        <v>214</v>
      </c>
      <c r="B107" s="668"/>
      <c r="C107" s="669"/>
    </row>
    <row r="108" spans="1:6" ht="14.25" customHeight="1" thickBot="1">
      <c r="A108" s="679" t="s">
        <v>211</v>
      </c>
      <c r="B108" s="680"/>
      <c r="C108" s="402">
        <f>1.03*9.5121</f>
        <v>9.7974630000000005</v>
      </c>
    </row>
    <row r="109" spans="1:6" ht="14.25" customHeight="1" thickBot="1">
      <c r="A109" s="679" t="s">
        <v>212</v>
      </c>
      <c r="B109" s="680"/>
      <c r="C109" s="402">
        <f>1.03*12.726</f>
        <v>13.107780000000002</v>
      </c>
    </row>
    <row r="110" spans="1:6" ht="14.25" customHeight="1" thickBot="1">
      <c r="A110" s="679" t="s">
        <v>213</v>
      </c>
      <c r="B110" s="680"/>
      <c r="C110" s="402">
        <f>1.03*7.7391</f>
        <v>7.9712730000000001</v>
      </c>
    </row>
    <row r="111" spans="1:6" ht="18.95" customHeight="1" thickBot="1">
      <c r="A111" s="667" t="s">
        <v>296</v>
      </c>
      <c r="B111" s="668"/>
      <c r="C111" s="669"/>
    </row>
    <row r="112" spans="1:6" ht="14.25" customHeight="1" thickBot="1">
      <c r="A112" s="679" t="s">
        <v>391</v>
      </c>
      <c r="B112" s="680"/>
      <c r="C112" s="405">
        <f>1.03*2.06</f>
        <v>2.1217999999999999</v>
      </c>
    </row>
    <row r="113" spans="1:3" ht="18.95" customHeight="1" thickBot="1">
      <c r="A113" s="667" t="s">
        <v>418</v>
      </c>
      <c r="B113" s="668"/>
      <c r="C113" s="669"/>
    </row>
    <row r="114" spans="1:3" ht="14.25" customHeight="1" thickBot="1">
      <c r="A114" s="677" t="s">
        <v>417</v>
      </c>
      <c r="B114" s="678"/>
      <c r="C114" s="405">
        <v>0.3</v>
      </c>
    </row>
    <row r="115" spans="1:3" ht="14.25" customHeight="1"/>
    <row r="116" spans="1:3" ht="14.25" customHeight="1"/>
    <row r="117" spans="1:3" ht="14.25" customHeight="1"/>
    <row r="118" spans="1:3" ht="14.25" customHeight="1"/>
    <row r="119" spans="1:3" ht="14.25" customHeight="1"/>
    <row r="120" spans="1:3" ht="14.25" customHeight="1"/>
    <row r="121" spans="1:3" ht="14.25" customHeight="1"/>
    <row r="122" spans="1:3" ht="14.25" customHeight="1">
      <c r="B122" s="15"/>
      <c r="C122" s="18"/>
    </row>
    <row r="123" spans="1:3" ht="14.25" customHeight="1">
      <c r="B123" s="15"/>
      <c r="C123" s="18"/>
    </row>
    <row r="124" spans="1:3" ht="14.25" customHeight="1"/>
    <row r="125" spans="1:3" ht="14.25" customHeight="1"/>
    <row r="126" spans="1:3" ht="14.25" customHeight="1"/>
    <row r="127" spans="1:3" ht="15" customHeight="1"/>
  </sheetData>
  <sheetProtection algorithmName="SHA-512" hashValue="/Vqk3K738eY8+cwLjL9bqAipb6UVggyxrndcSXhCIwDBTb5ykV93/D5m7QWk8oXUi+nWMkqXWXQLGbn+tbCyMA==" saltValue="on89u/jnJewHLci5a5GMyw==" spinCount="100000" sheet="1" objects="1" scenarios="1"/>
  <mergeCells count="45">
    <mergeCell ref="A114:B114"/>
    <mergeCell ref="A113:C113"/>
    <mergeCell ref="A111:C111"/>
    <mergeCell ref="A112:B112"/>
    <mergeCell ref="A105:B105"/>
    <mergeCell ref="A106:B106"/>
    <mergeCell ref="A108:B108"/>
    <mergeCell ref="A109:B109"/>
    <mergeCell ref="A110:B110"/>
    <mergeCell ref="A107:C107"/>
    <mergeCell ref="A2:C2"/>
    <mergeCell ref="A14:C14"/>
    <mergeCell ref="A20:C20"/>
    <mergeCell ref="A32:C32"/>
    <mergeCell ref="A90:B90"/>
    <mergeCell ref="A85:B85"/>
    <mergeCell ref="A86:B86"/>
    <mergeCell ref="A87:B87"/>
    <mergeCell ref="A88:B88"/>
    <mergeCell ref="A89:B89"/>
    <mergeCell ref="A82:B82"/>
    <mergeCell ref="A83:C83"/>
    <mergeCell ref="A84:C84"/>
    <mergeCell ref="A94:C94"/>
    <mergeCell ref="A96:B96"/>
    <mergeCell ref="A91:B91"/>
    <mergeCell ref="A92:B92"/>
    <mergeCell ref="A93:B93"/>
    <mergeCell ref="A95:B95"/>
    <mergeCell ref="A103:B103"/>
    <mergeCell ref="A104:B104"/>
    <mergeCell ref="A37:C37"/>
    <mergeCell ref="A39:C39"/>
    <mergeCell ref="A47:C47"/>
    <mergeCell ref="A98:B98"/>
    <mergeCell ref="A99:B99"/>
    <mergeCell ref="A100:B100"/>
    <mergeCell ref="A101:B101"/>
    <mergeCell ref="A102:B102"/>
    <mergeCell ref="A97:B97"/>
    <mergeCell ref="A58:C58"/>
    <mergeCell ref="A70:C70"/>
    <mergeCell ref="A74:C74"/>
    <mergeCell ref="A80:C80"/>
    <mergeCell ref="A81:B81"/>
  </mergeCells>
  <phoneticPr fontId="37" type="noConversion"/>
  <pageMargins left="0.7" right="0.7" top="0.75" bottom="0.75" header="0.3" footer="0.3"/>
  <pageSetup paperSize="9" scale="94" orientation="portrait" verticalDpi="0" r:id="rId1"/>
  <rowBreaks count="1" manualBreakCount="1">
    <brk id="5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4"/>
  <dimension ref="A1:Q110"/>
  <sheetViews>
    <sheetView topLeftCell="A59" zoomScale="115" zoomScaleNormal="135" workbookViewId="0">
      <selection activeCell="C59" sqref="C1:E1048576"/>
    </sheetView>
  </sheetViews>
  <sheetFormatPr defaultColWidth="8.85546875" defaultRowHeight="14.45" customHeight="1"/>
  <cols>
    <col min="1" max="1" width="54.140625" customWidth="1"/>
    <col min="2" max="2" width="28" customWidth="1"/>
    <col min="3" max="3" width="13.28515625" hidden="1" customWidth="1"/>
    <col min="4" max="4" width="18" hidden="1" customWidth="1"/>
    <col min="5" max="5" width="14.28515625" hidden="1" customWidth="1"/>
  </cols>
  <sheetData>
    <row r="1" spans="1:17" ht="33.950000000000003" customHeight="1" thickBot="1">
      <c r="A1" s="202" t="s">
        <v>88</v>
      </c>
      <c r="B1" s="167" t="s">
        <v>0</v>
      </c>
      <c r="C1" s="166" t="s">
        <v>144</v>
      </c>
      <c r="D1" s="166" t="s">
        <v>353</v>
      </c>
      <c r="E1" s="166" t="s">
        <v>378</v>
      </c>
      <c r="F1" s="20"/>
      <c r="G1" s="20"/>
      <c r="H1" s="20"/>
      <c r="I1" s="20"/>
      <c r="J1" s="20"/>
      <c r="K1" s="20"/>
      <c r="L1" s="20"/>
      <c r="M1" s="20"/>
      <c r="N1" s="20"/>
    </row>
    <row r="2" spans="1:17" s="42" customFormat="1" ht="18.95" customHeight="1" thickBot="1">
      <c r="A2" s="687" t="s">
        <v>350</v>
      </c>
      <c r="B2" s="688"/>
      <c r="C2" s="688"/>
      <c r="D2" s="688"/>
      <c r="E2" s="689"/>
      <c r="F2" s="267"/>
      <c r="G2" s="267"/>
      <c r="H2" s="20"/>
      <c r="I2" s="20"/>
      <c r="J2" s="20"/>
      <c r="K2" s="20"/>
      <c r="L2" s="20"/>
      <c r="M2" s="20"/>
      <c r="N2" s="20"/>
      <c r="O2"/>
      <c r="P2"/>
      <c r="Q2"/>
    </row>
    <row r="3" spans="1:17" ht="14.45" customHeight="1">
      <c r="A3" s="415" t="s">
        <v>37</v>
      </c>
      <c r="B3" s="201" t="s">
        <v>23</v>
      </c>
      <c r="C3" s="266">
        <v>14.24</v>
      </c>
      <c r="D3" s="420" t="s">
        <v>358</v>
      </c>
      <c r="E3" s="279"/>
      <c r="F3" s="20"/>
      <c r="G3" s="20"/>
      <c r="H3" s="20"/>
      <c r="I3" s="20"/>
      <c r="J3" s="20"/>
      <c r="K3" s="20"/>
      <c r="L3" s="20"/>
      <c r="M3" s="20"/>
      <c r="N3" s="20"/>
    </row>
    <row r="4" spans="1:17" ht="14.45" customHeight="1">
      <c r="A4" s="417" t="s">
        <v>37</v>
      </c>
      <c r="B4" s="200" t="s">
        <v>8</v>
      </c>
      <c r="C4" s="265">
        <v>12.96</v>
      </c>
      <c r="D4" s="290" t="s">
        <v>358</v>
      </c>
      <c r="E4" s="244"/>
      <c r="F4" s="20"/>
      <c r="G4" s="20"/>
      <c r="H4" s="20"/>
      <c r="I4" s="20"/>
      <c r="J4" s="20"/>
      <c r="K4" s="20"/>
      <c r="L4" s="20"/>
      <c r="M4" s="20"/>
      <c r="N4" s="20"/>
    </row>
    <row r="5" spans="1:17" ht="14.45" customHeight="1">
      <c r="A5" s="417" t="s">
        <v>37</v>
      </c>
      <c r="B5" s="200" t="s">
        <v>221</v>
      </c>
      <c r="C5" s="265">
        <v>16.52</v>
      </c>
      <c r="D5" s="290" t="s">
        <v>358</v>
      </c>
      <c r="E5" s="244"/>
      <c r="F5" s="20"/>
      <c r="G5" s="703" t="s">
        <v>366</v>
      </c>
      <c r="H5" s="703"/>
      <c r="I5" s="703"/>
      <c r="J5" s="703"/>
      <c r="K5" s="703"/>
      <c r="L5" s="20"/>
      <c r="M5" s="20"/>
      <c r="N5" s="20"/>
    </row>
    <row r="6" spans="1:17" ht="14.45" customHeight="1">
      <c r="A6" s="417" t="s">
        <v>354</v>
      </c>
      <c r="B6" s="200" t="s">
        <v>23</v>
      </c>
      <c r="C6" s="265">
        <v>81.96</v>
      </c>
      <c r="D6" s="290" t="s">
        <v>357</v>
      </c>
      <c r="E6" s="244">
        <v>2.85</v>
      </c>
      <c r="F6" s="20"/>
      <c r="G6" s="702" t="s">
        <v>377</v>
      </c>
      <c r="H6" s="702"/>
      <c r="I6" s="702"/>
      <c r="J6" s="702"/>
      <c r="K6" s="702"/>
      <c r="L6" s="20"/>
      <c r="M6" s="20"/>
      <c r="N6" s="20"/>
    </row>
    <row r="7" spans="1:17" ht="14.45" customHeight="1">
      <c r="A7" s="417" t="s">
        <v>354</v>
      </c>
      <c r="B7" s="200" t="s">
        <v>8</v>
      </c>
      <c r="C7" s="265">
        <v>73.88</v>
      </c>
      <c r="D7" s="290" t="s">
        <v>357</v>
      </c>
      <c r="E7" s="244">
        <v>2.85</v>
      </c>
      <c r="F7" s="20"/>
      <c r="G7" s="20"/>
      <c r="H7" s="20"/>
      <c r="I7" s="20"/>
      <c r="J7" s="20"/>
      <c r="K7" s="20"/>
      <c r="L7" s="20"/>
      <c r="M7" s="20"/>
      <c r="N7" s="20"/>
    </row>
    <row r="8" spans="1:17" ht="14.45" customHeight="1">
      <c r="A8" s="417" t="s">
        <v>354</v>
      </c>
      <c r="B8" s="200" t="s">
        <v>221</v>
      </c>
      <c r="C8" s="265">
        <v>81.97</v>
      </c>
      <c r="D8" s="290" t="s">
        <v>357</v>
      </c>
      <c r="E8" s="244">
        <v>2.85</v>
      </c>
      <c r="F8" s="20"/>
      <c r="G8" s="20"/>
      <c r="H8" s="20"/>
      <c r="I8" s="20"/>
      <c r="J8" s="20"/>
      <c r="K8" s="20"/>
      <c r="L8" s="20"/>
      <c r="M8" s="20"/>
      <c r="N8" s="20"/>
    </row>
    <row r="9" spans="1:17" ht="14.45" customHeight="1">
      <c r="A9" s="417" t="s">
        <v>355</v>
      </c>
      <c r="B9" s="200" t="s">
        <v>23</v>
      </c>
      <c r="C9" s="265">
        <v>17.420000000000002</v>
      </c>
      <c r="D9" s="290" t="s">
        <v>358</v>
      </c>
      <c r="E9" s="244"/>
      <c r="F9" s="20"/>
      <c r="G9" s="20"/>
      <c r="H9" s="20"/>
      <c r="I9" s="20"/>
      <c r="J9" s="20"/>
      <c r="K9" s="20"/>
      <c r="L9" s="20"/>
      <c r="M9" s="20"/>
      <c r="N9" s="20"/>
    </row>
    <row r="10" spans="1:17" ht="14.45" customHeight="1">
      <c r="A10" s="417" t="s">
        <v>355</v>
      </c>
      <c r="B10" s="200" t="s">
        <v>221</v>
      </c>
      <c r="C10" s="265">
        <v>21.42</v>
      </c>
      <c r="D10" s="290" t="s">
        <v>358</v>
      </c>
      <c r="E10" s="244"/>
      <c r="F10" s="20"/>
      <c r="G10" s="20"/>
      <c r="H10" s="20"/>
      <c r="I10" s="20"/>
      <c r="J10" s="20"/>
      <c r="K10" s="20"/>
      <c r="L10" s="20"/>
      <c r="M10" s="20"/>
      <c r="N10" s="20"/>
    </row>
    <row r="11" spans="1:17" ht="14.45" customHeight="1">
      <c r="A11" s="417" t="s">
        <v>356</v>
      </c>
      <c r="B11" s="200" t="s">
        <v>23</v>
      </c>
      <c r="C11" s="265">
        <v>61.16</v>
      </c>
      <c r="D11" s="290" t="s">
        <v>357</v>
      </c>
      <c r="E11" s="244">
        <v>2.85</v>
      </c>
      <c r="F11" s="20"/>
      <c r="G11" s="20"/>
      <c r="H11" s="20"/>
      <c r="I11" s="20"/>
      <c r="J11" s="20"/>
      <c r="K11" s="20"/>
      <c r="L11" s="20"/>
      <c r="M11" s="20"/>
      <c r="N11" s="20"/>
    </row>
    <row r="12" spans="1:17" ht="14.45" customHeight="1">
      <c r="A12" s="417" t="s">
        <v>356</v>
      </c>
      <c r="B12" s="200" t="s">
        <v>221</v>
      </c>
      <c r="C12" s="265">
        <v>69.42</v>
      </c>
      <c r="D12" s="290" t="s">
        <v>357</v>
      </c>
      <c r="E12" s="244">
        <v>2.85</v>
      </c>
      <c r="F12" s="20"/>
      <c r="G12" s="20"/>
      <c r="H12" s="20"/>
      <c r="I12" s="20"/>
      <c r="J12" s="20"/>
      <c r="K12" s="20"/>
      <c r="L12" s="20"/>
      <c r="M12" s="20"/>
      <c r="N12" s="20"/>
    </row>
    <row r="13" spans="1:17" ht="14.45" hidden="1" customHeight="1">
      <c r="A13" s="238" t="s">
        <v>114</v>
      </c>
      <c r="B13" s="239" t="s">
        <v>23</v>
      </c>
      <c r="C13" s="264"/>
      <c r="D13" s="276" t="s">
        <v>364</v>
      </c>
      <c r="E13" s="247"/>
      <c r="F13" s="20"/>
      <c r="G13" s="42"/>
      <c r="H13" s="42"/>
      <c r="I13" s="42"/>
      <c r="J13" s="42"/>
      <c r="K13" s="42"/>
      <c r="L13" s="42"/>
      <c r="M13" s="20"/>
      <c r="N13" s="20"/>
    </row>
    <row r="14" spans="1:17" ht="14.45" hidden="1" customHeight="1">
      <c r="A14" s="240" t="s">
        <v>114</v>
      </c>
      <c r="B14" s="241" t="s">
        <v>8</v>
      </c>
      <c r="C14" s="264"/>
      <c r="D14" s="277" t="s">
        <v>364</v>
      </c>
      <c r="E14" s="247"/>
      <c r="F14" s="20"/>
      <c r="G14" s="20"/>
      <c r="H14" s="20"/>
      <c r="I14" s="20"/>
      <c r="J14" s="20"/>
      <c r="K14" s="20"/>
      <c r="L14" s="20"/>
      <c r="M14" s="20"/>
      <c r="N14" s="20"/>
    </row>
    <row r="15" spans="1:17" ht="14.45" hidden="1" customHeight="1">
      <c r="A15" s="240" t="s">
        <v>114</v>
      </c>
      <c r="B15" s="241" t="s">
        <v>221</v>
      </c>
      <c r="C15" s="264"/>
      <c r="D15" s="277" t="s">
        <v>364</v>
      </c>
      <c r="E15" s="247"/>
      <c r="F15" s="20"/>
      <c r="G15" s="20"/>
      <c r="H15" s="20"/>
      <c r="I15" s="20"/>
      <c r="J15" s="20"/>
      <c r="K15" s="20"/>
      <c r="L15" s="20"/>
      <c r="M15" s="20"/>
      <c r="N15" s="20"/>
    </row>
    <row r="16" spans="1:17" ht="14.45" hidden="1" customHeight="1">
      <c r="A16" s="240" t="s">
        <v>258</v>
      </c>
      <c r="B16" s="241" t="s">
        <v>23</v>
      </c>
      <c r="C16" s="264"/>
      <c r="D16" s="277" t="s">
        <v>365</v>
      </c>
      <c r="E16" s="247"/>
      <c r="F16" s="20"/>
      <c r="G16" s="20"/>
      <c r="H16" s="20"/>
      <c r="I16" s="20"/>
      <c r="J16" s="20"/>
      <c r="K16" s="20"/>
      <c r="L16" s="20"/>
      <c r="M16" s="20"/>
      <c r="N16" s="20"/>
    </row>
    <row r="17" spans="1:14" ht="14.45" hidden="1" customHeight="1">
      <c r="A17" s="240" t="s">
        <v>258</v>
      </c>
      <c r="B17" s="241" t="s">
        <v>221</v>
      </c>
      <c r="C17" s="264"/>
      <c r="D17" s="277" t="s">
        <v>365</v>
      </c>
      <c r="E17" s="247"/>
      <c r="F17" s="20"/>
      <c r="G17" s="20"/>
      <c r="H17" s="20"/>
      <c r="I17" s="20"/>
      <c r="J17" s="20"/>
      <c r="K17" s="20"/>
      <c r="L17" s="20"/>
      <c r="M17" s="20"/>
      <c r="N17" s="20"/>
    </row>
    <row r="18" spans="1:14" ht="14.45" hidden="1" customHeight="1">
      <c r="A18" s="240" t="s">
        <v>291</v>
      </c>
      <c r="B18" s="241" t="s">
        <v>23</v>
      </c>
      <c r="C18" s="264"/>
      <c r="D18" s="277" t="s">
        <v>364</v>
      </c>
      <c r="E18" s="247"/>
      <c r="F18" s="20"/>
      <c r="G18" s="20"/>
      <c r="H18" s="20"/>
      <c r="I18" s="20"/>
      <c r="J18" s="20"/>
      <c r="K18" s="20"/>
      <c r="L18" s="20"/>
      <c r="M18" s="20"/>
      <c r="N18" s="20"/>
    </row>
    <row r="19" spans="1:14" ht="14.45" hidden="1" customHeight="1" thickBot="1">
      <c r="A19" s="242" t="s">
        <v>291</v>
      </c>
      <c r="B19" s="243" t="s">
        <v>221</v>
      </c>
      <c r="C19" s="288"/>
      <c r="D19" s="278" t="s">
        <v>364</v>
      </c>
      <c r="E19" s="247"/>
      <c r="F19" s="20"/>
      <c r="G19" s="20"/>
      <c r="H19" s="20"/>
      <c r="I19" s="20"/>
      <c r="J19" s="20"/>
      <c r="K19" s="20"/>
      <c r="L19" s="20"/>
      <c r="M19" s="20"/>
      <c r="N19" s="20"/>
    </row>
    <row r="20" spans="1:14" ht="14.45" customHeight="1">
      <c r="A20" s="704" t="s">
        <v>106</v>
      </c>
      <c r="B20" s="705"/>
      <c r="C20" s="289">
        <f>1.03*115.4287</f>
        <v>118.89156100000001</v>
      </c>
      <c r="D20" s="164"/>
      <c r="E20" s="244"/>
      <c r="F20" s="20"/>
      <c r="G20" s="20"/>
      <c r="H20" s="20"/>
      <c r="I20" s="20"/>
      <c r="J20" s="20"/>
      <c r="K20" s="20"/>
      <c r="L20" s="20"/>
      <c r="M20" s="20"/>
      <c r="N20" s="20"/>
    </row>
    <row r="21" spans="1:14" ht="14.45" customHeight="1">
      <c r="A21" s="704" t="s">
        <v>107</v>
      </c>
      <c r="B21" s="705"/>
      <c r="C21" s="289">
        <f>1.03*112.2542</f>
        <v>115.621826</v>
      </c>
      <c r="D21" s="164"/>
      <c r="E21" s="244"/>
      <c r="F21" s="20"/>
      <c r="G21" s="20"/>
      <c r="H21" s="20"/>
      <c r="I21" s="20"/>
      <c r="J21" s="20"/>
      <c r="K21" s="20"/>
      <c r="L21" s="20"/>
      <c r="M21" s="20"/>
      <c r="N21" s="20"/>
    </row>
    <row r="22" spans="1:14" ht="14.45" customHeight="1">
      <c r="A22" s="706" t="s">
        <v>390</v>
      </c>
      <c r="B22" s="707"/>
      <c r="C22" s="289">
        <f>1.03*39.3092</f>
        <v>40.488475999999999</v>
      </c>
      <c r="D22" s="164"/>
      <c r="E22" s="244"/>
      <c r="F22" s="20"/>
      <c r="G22" s="20"/>
      <c r="H22" s="20"/>
      <c r="I22" s="20"/>
      <c r="J22" s="20"/>
      <c r="K22" s="20"/>
      <c r="L22" s="20"/>
      <c r="M22" s="20"/>
      <c r="N22" s="20"/>
    </row>
    <row r="23" spans="1:14" ht="14.45" customHeight="1" thickBot="1">
      <c r="A23" s="708" t="s">
        <v>262</v>
      </c>
      <c r="B23" s="709"/>
      <c r="C23" s="289">
        <f>1.03*39.3092</f>
        <v>40.488475999999999</v>
      </c>
      <c r="D23" s="287"/>
      <c r="E23" s="245"/>
      <c r="F23" s="20"/>
      <c r="G23" s="20"/>
      <c r="H23" s="20"/>
      <c r="I23" s="20"/>
      <c r="J23" s="20"/>
      <c r="K23" s="20"/>
      <c r="L23" s="20"/>
      <c r="M23" s="20"/>
      <c r="N23" s="20"/>
    </row>
    <row r="24" spans="1:14" ht="18.95" customHeight="1" thickBot="1">
      <c r="A24" s="687" t="s">
        <v>351</v>
      </c>
      <c r="B24" s="688"/>
      <c r="C24" s="688"/>
      <c r="D24" s="688"/>
      <c r="E24" s="689"/>
      <c r="F24" s="20"/>
      <c r="G24" s="20"/>
      <c r="H24" s="20"/>
      <c r="I24" s="20"/>
      <c r="J24" s="20"/>
      <c r="K24" s="20"/>
      <c r="L24" s="20"/>
      <c r="M24" s="20"/>
      <c r="N24" s="20"/>
    </row>
    <row r="25" spans="1:14" ht="14.45" customHeight="1">
      <c r="A25" s="415" t="s">
        <v>36</v>
      </c>
      <c r="B25" s="201" t="s">
        <v>23</v>
      </c>
      <c r="C25" s="266">
        <v>10.28</v>
      </c>
      <c r="D25" s="416" t="s">
        <v>358</v>
      </c>
      <c r="E25" s="279"/>
      <c r="F25" s="20"/>
      <c r="G25" s="20"/>
      <c r="H25" s="20"/>
      <c r="I25" s="20"/>
      <c r="J25" s="20"/>
      <c r="K25" s="20"/>
      <c r="L25" s="20"/>
      <c r="M25" s="20"/>
      <c r="N25" s="20"/>
    </row>
    <row r="26" spans="1:14" ht="14.45" customHeight="1">
      <c r="A26" s="417" t="s">
        <v>36</v>
      </c>
      <c r="B26" s="200" t="s">
        <v>8</v>
      </c>
      <c r="C26" s="265">
        <v>9.35</v>
      </c>
      <c r="D26" s="164" t="s">
        <v>358</v>
      </c>
      <c r="E26" s="244"/>
      <c r="F26" s="20"/>
      <c r="G26" s="20"/>
      <c r="H26" s="20"/>
      <c r="I26" s="20"/>
      <c r="J26" s="20"/>
      <c r="K26" s="20"/>
      <c r="L26" s="20"/>
      <c r="M26" s="20"/>
      <c r="N26" s="20"/>
    </row>
    <row r="27" spans="1:14" ht="14.45" customHeight="1">
      <c r="A27" s="417" t="s">
        <v>36</v>
      </c>
      <c r="B27" s="200" t="s">
        <v>221</v>
      </c>
      <c r="C27" s="265">
        <v>12.58</v>
      </c>
      <c r="D27" s="164" t="s">
        <v>358</v>
      </c>
      <c r="E27" s="244"/>
      <c r="F27" s="20"/>
      <c r="G27" s="20"/>
      <c r="H27" s="20"/>
      <c r="I27" s="20"/>
      <c r="J27" s="20"/>
      <c r="K27" s="20"/>
      <c r="L27" s="20"/>
      <c r="M27" s="20"/>
      <c r="N27" s="20"/>
    </row>
    <row r="28" spans="1:14" ht="14.45" customHeight="1">
      <c r="A28" s="417" t="s">
        <v>359</v>
      </c>
      <c r="B28" s="200" t="s">
        <v>23</v>
      </c>
      <c r="C28" s="265">
        <v>62.29</v>
      </c>
      <c r="D28" s="418" t="s">
        <v>357</v>
      </c>
      <c r="E28" s="244">
        <v>2.85</v>
      </c>
      <c r="F28" s="20"/>
      <c r="G28" s="20"/>
      <c r="H28" s="20"/>
      <c r="I28" s="20"/>
      <c r="J28" s="20"/>
      <c r="K28" s="20"/>
      <c r="L28" s="20"/>
      <c r="M28" s="20"/>
      <c r="N28" s="20"/>
    </row>
    <row r="29" spans="1:14" ht="14.45" customHeight="1">
      <c r="A29" s="417" t="s">
        <v>359</v>
      </c>
      <c r="B29" s="200" t="s">
        <v>8</v>
      </c>
      <c r="C29" s="265">
        <v>56.14</v>
      </c>
      <c r="D29" s="418" t="s">
        <v>357</v>
      </c>
      <c r="E29" s="244">
        <v>2.85</v>
      </c>
      <c r="F29" s="20"/>
      <c r="G29" s="20"/>
      <c r="H29" s="20"/>
      <c r="I29" s="20"/>
      <c r="J29" s="20"/>
      <c r="K29" s="20"/>
      <c r="L29" s="20"/>
      <c r="M29" s="20"/>
      <c r="N29" s="20"/>
    </row>
    <row r="30" spans="1:14" ht="14.45" customHeight="1">
      <c r="A30" s="417" t="s">
        <v>359</v>
      </c>
      <c r="B30" s="200" t="s">
        <v>221</v>
      </c>
      <c r="C30" s="265">
        <v>62.3</v>
      </c>
      <c r="D30" s="418" t="s">
        <v>357</v>
      </c>
      <c r="E30" s="244">
        <v>2.85</v>
      </c>
      <c r="F30" s="20"/>
      <c r="G30" s="20"/>
      <c r="H30" s="20"/>
      <c r="I30" s="20"/>
      <c r="J30" s="20"/>
      <c r="K30" s="20"/>
      <c r="L30" s="20"/>
      <c r="M30" s="20"/>
      <c r="N30" s="20"/>
    </row>
    <row r="31" spans="1:14" ht="14.45" customHeight="1">
      <c r="A31" s="417" t="s">
        <v>360</v>
      </c>
      <c r="B31" s="200" t="s">
        <v>23</v>
      </c>
      <c r="C31" s="265">
        <v>13.57</v>
      </c>
      <c r="D31" s="164" t="s">
        <v>358</v>
      </c>
      <c r="E31" s="244"/>
      <c r="F31" s="20"/>
      <c r="G31" s="20"/>
      <c r="H31" s="20"/>
      <c r="I31" s="20"/>
      <c r="J31" s="20"/>
      <c r="K31" s="20"/>
      <c r="L31" s="20"/>
      <c r="M31" s="20"/>
      <c r="N31" s="20"/>
    </row>
    <row r="32" spans="1:14" ht="14.45" customHeight="1">
      <c r="A32" s="417" t="s">
        <v>360</v>
      </c>
      <c r="B32" s="200" t="s">
        <v>221</v>
      </c>
      <c r="C32" s="265">
        <v>16.71</v>
      </c>
      <c r="D32" s="164" t="s">
        <v>358</v>
      </c>
      <c r="E32" s="244"/>
      <c r="F32" s="20"/>
      <c r="G32" s="20"/>
      <c r="H32" s="20"/>
      <c r="I32" s="20"/>
      <c r="J32" s="20"/>
      <c r="K32" s="20"/>
      <c r="L32" s="20"/>
      <c r="M32" s="20"/>
      <c r="N32" s="20"/>
    </row>
    <row r="33" spans="1:14" ht="14.45" customHeight="1">
      <c r="A33" s="417" t="s">
        <v>361</v>
      </c>
      <c r="B33" s="200" t="s">
        <v>23</v>
      </c>
      <c r="C33" s="419">
        <v>46.48</v>
      </c>
      <c r="D33" s="418" t="s">
        <v>357</v>
      </c>
      <c r="E33" s="244">
        <v>2.85</v>
      </c>
      <c r="F33" s="20"/>
      <c r="G33" s="20"/>
      <c r="H33" s="20"/>
      <c r="I33" s="20"/>
      <c r="J33" s="20"/>
      <c r="K33" s="20"/>
      <c r="L33" s="20"/>
      <c r="M33" s="20"/>
      <c r="N33" s="20"/>
    </row>
    <row r="34" spans="1:14" ht="14.45" customHeight="1">
      <c r="A34" s="417" t="s">
        <v>361</v>
      </c>
      <c r="B34" s="200" t="s">
        <v>221</v>
      </c>
      <c r="C34" s="265">
        <v>50.93</v>
      </c>
      <c r="D34" s="418" t="s">
        <v>357</v>
      </c>
      <c r="E34" s="244">
        <v>2.85</v>
      </c>
      <c r="F34" s="20"/>
      <c r="G34" s="20"/>
      <c r="H34" s="20"/>
      <c r="I34" s="20"/>
      <c r="J34" s="20"/>
      <c r="K34" s="20"/>
      <c r="L34" s="20"/>
      <c r="M34" s="20"/>
      <c r="N34" s="20"/>
    </row>
    <row r="35" spans="1:14" ht="14.45" customHeight="1">
      <c r="A35" s="417" t="s">
        <v>362</v>
      </c>
      <c r="B35" s="200" t="s">
        <v>23</v>
      </c>
      <c r="C35" s="265">
        <v>17.23</v>
      </c>
      <c r="D35" s="164" t="s">
        <v>358</v>
      </c>
      <c r="E35" s="244"/>
      <c r="F35" s="20"/>
      <c r="G35" s="20"/>
      <c r="H35" s="20"/>
      <c r="I35" s="20"/>
      <c r="J35" s="20"/>
      <c r="K35" s="20"/>
      <c r="L35" s="20"/>
      <c r="M35" s="20"/>
      <c r="N35" s="20"/>
    </row>
    <row r="36" spans="1:14" ht="14.45" customHeight="1">
      <c r="A36" s="417" t="s">
        <v>362</v>
      </c>
      <c r="B36" s="200" t="s">
        <v>221</v>
      </c>
      <c r="C36" s="265">
        <v>18.62</v>
      </c>
      <c r="D36" s="164" t="s">
        <v>358</v>
      </c>
      <c r="E36" s="244"/>
      <c r="F36" s="20"/>
      <c r="G36" s="20"/>
      <c r="H36" s="20"/>
      <c r="I36" s="20"/>
      <c r="J36" s="20"/>
      <c r="K36" s="20"/>
      <c r="L36" s="20"/>
      <c r="M36" s="20"/>
      <c r="N36" s="20"/>
    </row>
    <row r="37" spans="1:14" ht="14.45" customHeight="1">
      <c r="A37" s="417" t="s">
        <v>363</v>
      </c>
      <c r="B37" s="200" t="s">
        <v>23</v>
      </c>
      <c r="C37" s="265">
        <v>49.41</v>
      </c>
      <c r="D37" s="418" t="s">
        <v>357</v>
      </c>
      <c r="E37" s="244">
        <v>2.85</v>
      </c>
      <c r="F37" s="20"/>
      <c r="G37" s="20"/>
      <c r="H37" s="20"/>
      <c r="I37" s="20"/>
      <c r="J37" s="20"/>
      <c r="K37" s="20"/>
      <c r="L37" s="20"/>
      <c r="M37" s="20"/>
      <c r="N37" s="20"/>
    </row>
    <row r="38" spans="1:14" ht="14.45" customHeight="1">
      <c r="A38" s="417" t="s">
        <v>363</v>
      </c>
      <c r="B38" s="200" t="s">
        <v>221</v>
      </c>
      <c r="C38" s="265">
        <v>54.75</v>
      </c>
      <c r="D38" s="418" t="s">
        <v>357</v>
      </c>
      <c r="E38" s="244">
        <v>2.85</v>
      </c>
      <c r="F38" s="20"/>
      <c r="G38" s="20"/>
      <c r="H38" s="20"/>
      <c r="I38" s="20"/>
      <c r="J38" s="20"/>
      <c r="K38" s="20"/>
      <c r="L38" s="20"/>
      <c r="M38" s="20"/>
      <c r="N38" s="20"/>
    </row>
    <row r="39" spans="1:14" ht="14.45" hidden="1" customHeight="1">
      <c r="A39" s="240" t="s">
        <v>115</v>
      </c>
      <c r="B39" s="241" t="s">
        <v>23</v>
      </c>
      <c r="C39" s="274"/>
      <c r="D39" s="250" t="s">
        <v>364</v>
      </c>
      <c r="E39" s="247"/>
      <c r="F39" s="20"/>
      <c r="G39" s="20"/>
      <c r="H39" s="20"/>
      <c r="I39" s="20"/>
      <c r="J39" s="20"/>
      <c r="K39" s="20"/>
      <c r="L39" s="20"/>
      <c r="M39" s="20"/>
      <c r="N39" s="20"/>
    </row>
    <row r="40" spans="1:14" ht="14.45" hidden="1" customHeight="1">
      <c r="A40" s="240" t="s">
        <v>115</v>
      </c>
      <c r="B40" s="241" t="s">
        <v>8</v>
      </c>
      <c r="C40" s="274"/>
      <c r="D40" s="250" t="s">
        <v>364</v>
      </c>
      <c r="E40" s="247"/>
      <c r="F40" s="20"/>
      <c r="G40" s="20"/>
      <c r="H40" s="20"/>
      <c r="I40" s="20"/>
      <c r="J40" s="20"/>
      <c r="K40" s="20"/>
      <c r="L40" s="20"/>
      <c r="M40" s="20"/>
      <c r="N40" s="20"/>
    </row>
    <row r="41" spans="1:14" ht="14.45" hidden="1" customHeight="1">
      <c r="A41" s="240" t="s">
        <v>115</v>
      </c>
      <c r="B41" s="241" t="s">
        <v>221</v>
      </c>
      <c r="C41" s="274"/>
      <c r="D41" s="250" t="s">
        <v>365</v>
      </c>
      <c r="E41" s="247"/>
      <c r="F41" s="20"/>
      <c r="G41" s="20"/>
      <c r="H41" s="20"/>
      <c r="I41" s="20"/>
      <c r="J41" s="20"/>
      <c r="K41" s="20"/>
      <c r="L41" s="20"/>
      <c r="M41" s="20"/>
      <c r="N41" s="20"/>
    </row>
    <row r="42" spans="1:14" ht="14.45" hidden="1" customHeight="1">
      <c r="A42" s="240" t="s">
        <v>259</v>
      </c>
      <c r="B42" s="241" t="s">
        <v>23</v>
      </c>
      <c r="C42" s="274"/>
      <c r="D42" s="250" t="s">
        <v>365</v>
      </c>
      <c r="E42" s="247"/>
      <c r="F42" s="20"/>
      <c r="G42" s="20"/>
      <c r="H42" s="20"/>
      <c r="I42" s="20"/>
      <c r="J42" s="20"/>
      <c r="K42" s="20"/>
      <c r="L42" s="20"/>
      <c r="M42" s="20"/>
      <c r="N42" s="20"/>
    </row>
    <row r="43" spans="1:14" ht="14.45" hidden="1" customHeight="1">
      <c r="A43" s="240" t="s">
        <v>259</v>
      </c>
      <c r="B43" s="241" t="s">
        <v>221</v>
      </c>
      <c r="C43" s="274"/>
      <c r="D43" s="250" t="s">
        <v>365</v>
      </c>
      <c r="E43" s="247"/>
      <c r="F43" s="20"/>
      <c r="G43" s="20"/>
      <c r="H43" s="20"/>
      <c r="I43" s="20"/>
      <c r="J43" s="20"/>
      <c r="K43" s="20"/>
      <c r="L43" s="20"/>
      <c r="M43" s="20"/>
      <c r="N43" s="20"/>
    </row>
    <row r="44" spans="1:14" ht="14.45" hidden="1" customHeight="1">
      <c r="A44" s="240" t="s">
        <v>292</v>
      </c>
      <c r="B44" s="241" t="s">
        <v>23</v>
      </c>
      <c r="C44" s="274"/>
      <c r="D44" s="250" t="s">
        <v>364</v>
      </c>
      <c r="E44" s="247"/>
      <c r="F44" s="20"/>
      <c r="G44" s="20"/>
      <c r="H44" s="20"/>
      <c r="I44" s="20"/>
      <c r="J44" s="20"/>
      <c r="K44" s="20"/>
      <c r="L44" s="20"/>
      <c r="M44" s="20"/>
      <c r="N44" s="20"/>
    </row>
    <row r="45" spans="1:14" ht="14.45" hidden="1" customHeight="1">
      <c r="A45" s="240" t="s">
        <v>292</v>
      </c>
      <c r="B45" s="241" t="s">
        <v>221</v>
      </c>
      <c r="C45" s="274"/>
      <c r="D45" s="250" t="s">
        <v>364</v>
      </c>
      <c r="E45" s="247"/>
      <c r="F45" s="20"/>
      <c r="G45" s="20"/>
      <c r="H45" s="20"/>
      <c r="I45" s="20"/>
      <c r="J45" s="20"/>
      <c r="K45" s="20"/>
      <c r="L45" s="20"/>
      <c r="M45" s="20"/>
      <c r="N45" s="20"/>
    </row>
    <row r="46" spans="1:14" ht="14.45" hidden="1" customHeight="1">
      <c r="A46" s="240" t="s">
        <v>293</v>
      </c>
      <c r="B46" s="241" t="s">
        <v>23</v>
      </c>
      <c r="C46" s="274"/>
      <c r="D46" s="250" t="s">
        <v>365</v>
      </c>
      <c r="E46" s="247"/>
      <c r="F46" s="20"/>
      <c r="G46" s="20"/>
      <c r="H46" s="20"/>
      <c r="I46" s="20"/>
      <c r="J46" s="20"/>
      <c r="K46" s="20"/>
      <c r="L46" s="20"/>
      <c r="M46" s="20"/>
      <c r="N46" s="20"/>
    </row>
    <row r="47" spans="1:14" ht="14.45" hidden="1" customHeight="1">
      <c r="A47" s="240" t="s">
        <v>293</v>
      </c>
      <c r="B47" s="241" t="s">
        <v>221</v>
      </c>
      <c r="C47" s="274"/>
      <c r="D47" s="250" t="s">
        <v>365</v>
      </c>
      <c r="E47" s="247"/>
      <c r="F47" s="20"/>
      <c r="G47" s="20"/>
      <c r="H47" s="20"/>
      <c r="I47" s="20"/>
      <c r="J47" s="20"/>
      <c r="K47" s="20"/>
      <c r="L47" s="20"/>
      <c r="M47" s="20"/>
      <c r="N47" s="20"/>
    </row>
    <row r="48" spans="1:14" ht="14.45" hidden="1" customHeight="1">
      <c r="A48" s="240" t="s">
        <v>294</v>
      </c>
      <c r="B48" s="241" t="s">
        <v>23</v>
      </c>
      <c r="C48" s="274"/>
      <c r="D48" s="250" t="s">
        <v>364</v>
      </c>
      <c r="E48" s="247"/>
      <c r="F48" s="20"/>
      <c r="G48" s="20"/>
      <c r="H48" s="20"/>
      <c r="I48" s="20"/>
      <c r="J48" s="20"/>
      <c r="K48" s="20"/>
      <c r="L48" s="20"/>
      <c r="M48" s="20"/>
      <c r="N48" s="20"/>
    </row>
    <row r="49" spans="1:14" ht="14.45" hidden="1" customHeight="1" thickBot="1">
      <c r="A49" s="242" t="s">
        <v>294</v>
      </c>
      <c r="B49" s="243" t="s">
        <v>221</v>
      </c>
      <c r="C49" s="286"/>
      <c r="D49" s="250" t="s">
        <v>364</v>
      </c>
      <c r="E49" s="247"/>
      <c r="F49" s="20"/>
      <c r="G49" s="20"/>
      <c r="H49" s="20"/>
      <c r="I49" s="20"/>
      <c r="J49" s="20"/>
      <c r="K49" s="20"/>
      <c r="L49" s="20"/>
      <c r="M49" s="20"/>
      <c r="N49" s="20"/>
    </row>
    <row r="50" spans="1:14" ht="14.45" customHeight="1">
      <c r="A50" s="693" t="s">
        <v>191</v>
      </c>
      <c r="B50" s="694"/>
      <c r="C50" s="404">
        <f>1.03*14.8366</f>
        <v>15.281698</v>
      </c>
      <c r="D50" s="403"/>
      <c r="E50" s="291"/>
      <c r="F50" s="20"/>
      <c r="G50" s="20"/>
      <c r="H50" s="20"/>
      <c r="I50" s="20"/>
      <c r="J50" s="20"/>
      <c r="K50" s="20"/>
      <c r="L50" s="20"/>
      <c r="M50" s="20"/>
      <c r="N50" s="20"/>
    </row>
    <row r="51" spans="1:14" ht="14.45" customHeight="1">
      <c r="A51" s="693" t="s">
        <v>192</v>
      </c>
      <c r="B51" s="694"/>
      <c r="C51" s="404">
        <f>1.03*7.4633</f>
        <v>7.6871990000000006</v>
      </c>
      <c r="D51" s="290"/>
      <c r="E51" s="244"/>
      <c r="F51" s="20"/>
      <c r="G51" s="20"/>
      <c r="H51" s="20"/>
      <c r="I51" s="20"/>
      <c r="J51" s="20"/>
      <c r="K51" s="20"/>
      <c r="L51" s="20"/>
      <c r="M51" s="20"/>
      <c r="N51" s="20"/>
    </row>
    <row r="52" spans="1:14" ht="14.45" customHeight="1">
      <c r="A52" s="693" t="s">
        <v>193</v>
      </c>
      <c r="B52" s="694"/>
      <c r="C52" s="404">
        <f>1.03*8.5159</f>
        <v>8.7713770000000011</v>
      </c>
      <c r="D52" s="290"/>
      <c r="E52" s="244"/>
      <c r="F52" s="20"/>
      <c r="G52" s="20"/>
      <c r="H52" s="20"/>
      <c r="I52" s="20"/>
      <c r="J52" s="20"/>
      <c r="K52" s="20"/>
      <c r="L52" s="20"/>
      <c r="M52" s="20"/>
      <c r="N52" s="20"/>
    </row>
    <row r="53" spans="1:14" ht="14.45" customHeight="1">
      <c r="A53" s="693" t="s">
        <v>194</v>
      </c>
      <c r="B53" s="694"/>
      <c r="C53" s="404">
        <f>1.03*7.7673</f>
        <v>8.0003189999999993</v>
      </c>
      <c r="D53" s="290"/>
      <c r="E53" s="244"/>
      <c r="F53" s="20"/>
      <c r="G53" s="20"/>
      <c r="H53" s="20"/>
      <c r="I53" s="20"/>
      <c r="J53" s="20"/>
      <c r="K53" s="20"/>
      <c r="L53" s="20"/>
      <c r="M53" s="20"/>
      <c r="N53" s="20"/>
    </row>
    <row r="54" spans="1:14" ht="14.45" customHeight="1">
      <c r="A54" s="693" t="s">
        <v>273</v>
      </c>
      <c r="B54" s="694"/>
      <c r="C54" s="404">
        <f>1.03*8.5159</f>
        <v>8.7713770000000011</v>
      </c>
      <c r="D54" s="290"/>
      <c r="E54" s="244"/>
      <c r="F54" s="20"/>
      <c r="G54" s="20"/>
      <c r="H54" s="20"/>
      <c r="I54" s="20"/>
      <c r="J54" s="20"/>
      <c r="K54" s="20"/>
      <c r="L54" s="20"/>
      <c r="M54" s="20"/>
      <c r="N54" s="20"/>
    </row>
    <row r="55" spans="1:14" ht="14.45" customHeight="1">
      <c r="A55" s="693" t="s">
        <v>195</v>
      </c>
      <c r="B55" s="694"/>
      <c r="C55" s="404">
        <f>1.03*14.8704</f>
        <v>15.316512000000001</v>
      </c>
      <c r="D55" s="290"/>
      <c r="E55" s="244"/>
      <c r="F55" s="20"/>
      <c r="G55" s="20"/>
      <c r="H55" s="20"/>
      <c r="I55" s="20"/>
      <c r="J55" s="20"/>
      <c r="K55" s="20"/>
      <c r="L55" s="20"/>
      <c r="M55" s="20"/>
      <c r="N55" s="20"/>
    </row>
    <row r="56" spans="1:14" ht="14.45" customHeight="1">
      <c r="A56" s="693" t="s">
        <v>196</v>
      </c>
      <c r="B56" s="694"/>
      <c r="C56" s="404">
        <f>1.03*8.2739</f>
        <v>8.5221169999999997</v>
      </c>
      <c r="D56" s="290"/>
      <c r="E56" s="244"/>
      <c r="F56" s="20"/>
      <c r="G56" s="20"/>
      <c r="H56" s="20"/>
      <c r="I56" s="20"/>
      <c r="J56" s="20"/>
      <c r="K56" s="20"/>
      <c r="L56" s="20"/>
      <c r="M56" s="20"/>
      <c r="N56" s="20"/>
    </row>
    <row r="57" spans="1:14" ht="14.45" customHeight="1">
      <c r="A57" s="693" t="s">
        <v>197</v>
      </c>
      <c r="B57" s="694"/>
      <c r="C57" s="404">
        <f>1.03*15.4333</f>
        <v>15.896298999999999</v>
      </c>
      <c r="D57" s="290"/>
      <c r="E57" s="244"/>
      <c r="F57" s="20"/>
      <c r="G57" s="20"/>
      <c r="H57" s="20"/>
      <c r="I57" s="20"/>
      <c r="J57" s="20"/>
      <c r="K57" s="20"/>
      <c r="L57" s="20"/>
      <c r="M57" s="20"/>
      <c r="N57" s="20"/>
    </row>
    <row r="58" spans="1:14" ht="14.45" customHeight="1">
      <c r="A58" s="699" t="s">
        <v>198</v>
      </c>
      <c r="B58" s="700"/>
      <c r="C58" s="406">
        <f>1.03*8.3639</f>
        <v>8.6148169999999986</v>
      </c>
      <c r="D58" s="290"/>
      <c r="E58" s="244"/>
      <c r="F58" s="20"/>
      <c r="G58" s="20"/>
      <c r="H58" s="20"/>
      <c r="I58" s="20"/>
      <c r="J58" s="20"/>
      <c r="K58" s="20"/>
      <c r="L58" s="20"/>
      <c r="M58" s="20"/>
      <c r="N58" s="20"/>
    </row>
    <row r="59" spans="1:14" ht="14.45" customHeight="1">
      <c r="A59" s="697" t="s">
        <v>211</v>
      </c>
      <c r="B59" s="698"/>
      <c r="C59" s="404">
        <f>1.03*9.5121</f>
        <v>9.7974630000000005</v>
      </c>
      <c r="D59" s="290"/>
      <c r="E59" s="244"/>
      <c r="F59" s="20"/>
      <c r="G59" s="20"/>
      <c r="H59" s="20"/>
      <c r="I59" s="20"/>
      <c r="J59" s="20"/>
      <c r="K59" s="20"/>
      <c r="L59" s="20"/>
      <c r="M59" s="20"/>
      <c r="N59" s="20"/>
    </row>
    <row r="60" spans="1:14" ht="14.45" customHeight="1">
      <c r="A60" s="697" t="s">
        <v>212</v>
      </c>
      <c r="B60" s="698"/>
      <c r="C60" s="404">
        <f>1.03*12.726</f>
        <v>13.107780000000002</v>
      </c>
      <c r="D60" s="290"/>
      <c r="E60" s="244"/>
      <c r="F60" s="20"/>
      <c r="G60" s="20"/>
      <c r="H60" s="20"/>
      <c r="I60" s="20"/>
      <c r="J60" s="20"/>
      <c r="K60" s="20"/>
      <c r="L60" s="20"/>
      <c r="M60" s="20"/>
      <c r="N60" s="20"/>
    </row>
    <row r="61" spans="1:14" ht="14.45" customHeight="1">
      <c r="A61" s="697" t="s">
        <v>213</v>
      </c>
      <c r="B61" s="698"/>
      <c r="C61" s="404">
        <f>1.03*7.7391</f>
        <v>7.9712730000000001</v>
      </c>
      <c r="D61" s="290"/>
      <c r="E61" s="244"/>
      <c r="F61" s="20"/>
      <c r="G61" s="20"/>
      <c r="H61" s="20"/>
      <c r="I61" s="20"/>
      <c r="J61" s="20"/>
      <c r="K61" s="20"/>
      <c r="L61" s="20"/>
      <c r="M61" s="20"/>
      <c r="N61" s="20"/>
    </row>
    <row r="62" spans="1:14" ht="14.45" customHeight="1" thickBot="1">
      <c r="A62" s="695" t="s">
        <v>391</v>
      </c>
      <c r="B62" s="696"/>
      <c r="C62" s="139">
        <f>1.03*2.06</f>
        <v>2.1217999999999999</v>
      </c>
      <c r="D62" s="280"/>
      <c r="E62" s="407"/>
      <c r="F62" s="20"/>
      <c r="G62" s="20"/>
      <c r="H62" s="20"/>
      <c r="I62" s="20"/>
      <c r="J62" s="20"/>
      <c r="K62" s="20"/>
      <c r="L62" s="20"/>
      <c r="M62" s="20"/>
      <c r="N62" s="20"/>
    </row>
    <row r="63" spans="1:14" ht="14.45" customHeight="1" thickBot="1">
      <c r="A63" s="690" t="s">
        <v>352</v>
      </c>
      <c r="B63" s="691"/>
      <c r="C63" s="691"/>
      <c r="D63" s="691"/>
      <c r="E63" s="692"/>
      <c r="F63" s="20"/>
      <c r="G63" s="20"/>
      <c r="H63" s="20"/>
      <c r="I63" s="20"/>
      <c r="J63" s="20"/>
      <c r="K63" s="20"/>
      <c r="L63" s="20"/>
      <c r="M63" s="20"/>
      <c r="N63" s="20"/>
    </row>
    <row r="64" spans="1:14" ht="14.45" customHeight="1">
      <c r="A64" s="271" t="s">
        <v>368</v>
      </c>
      <c r="B64" s="237" t="s">
        <v>6</v>
      </c>
      <c r="C64" s="272">
        <v>8.0399999999999991</v>
      </c>
      <c r="D64" s="163" t="s">
        <v>358</v>
      </c>
      <c r="E64" s="279"/>
      <c r="F64" s="20"/>
      <c r="G64" s="20"/>
      <c r="H64" s="20"/>
      <c r="I64" s="20"/>
      <c r="J64" s="20"/>
      <c r="K64" s="20"/>
      <c r="L64" s="20"/>
      <c r="M64" s="20"/>
      <c r="N64" s="20"/>
    </row>
    <row r="65" spans="1:14" ht="14.45" customHeight="1">
      <c r="A65" s="270" t="s">
        <v>369</v>
      </c>
      <c r="B65" s="200" t="s">
        <v>6</v>
      </c>
      <c r="C65" s="265">
        <v>48.31</v>
      </c>
      <c r="D65" s="164" t="s">
        <v>357</v>
      </c>
      <c r="E65" s="244">
        <v>3</v>
      </c>
      <c r="F65" s="20"/>
      <c r="G65" s="20"/>
      <c r="H65" s="20"/>
      <c r="I65" s="20"/>
      <c r="J65" s="20"/>
      <c r="K65" s="20"/>
      <c r="L65" s="20"/>
      <c r="M65" s="20"/>
      <c r="N65" s="20"/>
    </row>
    <row r="66" spans="1:14" ht="14.45" customHeight="1">
      <c r="A66" s="270" t="s">
        <v>379</v>
      </c>
      <c r="B66" s="200" t="s">
        <v>6</v>
      </c>
      <c r="C66" s="265">
        <v>73.78</v>
      </c>
      <c r="D66" s="164" t="s">
        <v>357</v>
      </c>
      <c r="E66" s="244">
        <v>2.65</v>
      </c>
      <c r="F66" s="20"/>
      <c r="G66" s="20"/>
      <c r="H66" s="20"/>
      <c r="I66" s="20"/>
      <c r="J66" s="20"/>
      <c r="K66" s="20"/>
      <c r="L66" s="20"/>
      <c r="M66" s="20"/>
      <c r="N66" s="20"/>
    </row>
    <row r="67" spans="1:14" ht="14.45" customHeight="1">
      <c r="A67" s="270" t="s">
        <v>368</v>
      </c>
      <c r="B67" s="200" t="s">
        <v>221</v>
      </c>
      <c r="C67" s="265">
        <v>8.0399999999999991</v>
      </c>
      <c r="D67" s="164" t="s">
        <v>358</v>
      </c>
      <c r="E67" s="244"/>
      <c r="F67" s="20"/>
      <c r="G67" s="20"/>
      <c r="H67" s="20"/>
      <c r="I67" s="20"/>
      <c r="J67" s="20"/>
      <c r="K67" s="20"/>
      <c r="L67" s="20"/>
      <c r="M67" s="20"/>
      <c r="N67" s="20"/>
    </row>
    <row r="68" spans="1:14" ht="14.45" customHeight="1">
      <c r="A68" s="270" t="s">
        <v>369</v>
      </c>
      <c r="B68" s="200" t="s">
        <v>221</v>
      </c>
      <c r="C68" s="265">
        <v>48.31</v>
      </c>
      <c r="D68" s="164" t="s">
        <v>357</v>
      </c>
      <c r="E68" s="244">
        <v>3</v>
      </c>
      <c r="F68" s="20"/>
      <c r="G68" s="20"/>
      <c r="H68" s="20"/>
      <c r="I68" s="20"/>
      <c r="J68" s="20"/>
      <c r="K68" s="20"/>
      <c r="L68" s="20"/>
      <c r="M68" s="20"/>
      <c r="N68" s="20"/>
    </row>
    <row r="69" spans="1:14" ht="14.1" customHeight="1" thickBot="1">
      <c r="A69" s="270" t="s">
        <v>379</v>
      </c>
      <c r="B69" s="200" t="s">
        <v>221</v>
      </c>
      <c r="C69" s="265">
        <v>73.78</v>
      </c>
      <c r="D69" s="164" t="s">
        <v>357</v>
      </c>
      <c r="E69" s="244">
        <v>2.65</v>
      </c>
      <c r="F69" s="20"/>
      <c r="G69" s="20"/>
      <c r="H69" s="20"/>
      <c r="I69" s="20"/>
      <c r="J69" s="20"/>
      <c r="K69" s="20"/>
      <c r="L69" s="20"/>
      <c r="M69" s="20"/>
      <c r="N69" s="20"/>
    </row>
    <row r="70" spans="1:14" ht="14.45" hidden="1" customHeight="1">
      <c r="A70" s="273" t="s">
        <v>260</v>
      </c>
      <c r="B70" s="241" t="s">
        <v>6</v>
      </c>
      <c r="C70" s="274"/>
      <c r="D70" s="250" t="s">
        <v>376</v>
      </c>
      <c r="E70" s="246"/>
      <c r="F70" s="20"/>
      <c r="G70" s="20"/>
      <c r="H70" s="20"/>
      <c r="I70" s="20"/>
      <c r="J70" s="20"/>
      <c r="K70" s="20"/>
      <c r="L70" s="20"/>
      <c r="M70" s="20"/>
      <c r="N70" s="20"/>
    </row>
    <row r="71" spans="1:14" ht="14.45" hidden="1" customHeight="1" thickBot="1">
      <c r="A71" s="273" t="s">
        <v>260</v>
      </c>
      <c r="B71" s="241" t="s">
        <v>221</v>
      </c>
      <c r="C71" s="274"/>
      <c r="D71" s="250" t="s">
        <v>376</v>
      </c>
      <c r="E71" s="248"/>
      <c r="F71" s="20"/>
      <c r="G71" s="20"/>
      <c r="H71" s="20"/>
      <c r="I71" s="20"/>
      <c r="J71" s="20"/>
      <c r="K71" s="20"/>
      <c r="L71" s="20"/>
      <c r="M71" s="20"/>
      <c r="N71" s="20"/>
    </row>
    <row r="72" spans="1:14" ht="14.45" customHeight="1">
      <c r="A72" s="701" t="s">
        <v>263</v>
      </c>
      <c r="B72" s="701"/>
      <c r="C72" s="281">
        <f>1.03*58.007</f>
        <v>59.747210000000003</v>
      </c>
      <c r="D72" s="280"/>
      <c r="E72" s="279"/>
      <c r="F72" s="20"/>
      <c r="G72" s="20"/>
      <c r="H72" s="20"/>
      <c r="I72" s="20"/>
      <c r="J72" s="20"/>
      <c r="K72" s="20"/>
      <c r="L72" s="20"/>
      <c r="M72" s="20"/>
      <c r="N72" s="20"/>
    </row>
    <row r="73" spans="1:14" ht="14.45" customHeight="1" thickBot="1">
      <c r="A73" s="701" t="s">
        <v>264</v>
      </c>
      <c r="B73" s="701"/>
      <c r="C73" s="281">
        <f>1.03*58.007</f>
        <v>59.747210000000003</v>
      </c>
      <c r="D73" s="280"/>
      <c r="E73" s="245"/>
      <c r="F73" s="20"/>
      <c r="G73" s="20"/>
      <c r="H73" s="20"/>
      <c r="I73" s="20"/>
      <c r="J73" s="20"/>
      <c r="K73" s="20"/>
      <c r="L73" s="20"/>
      <c r="M73" s="20"/>
      <c r="N73" s="20"/>
    </row>
    <row r="74" spans="1:14" ht="14.45" customHeight="1" thickBot="1">
      <c r="A74" s="690" t="s">
        <v>370</v>
      </c>
      <c r="B74" s="691"/>
      <c r="C74" s="691"/>
      <c r="D74" s="691"/>
      <c r="E74" s="692"/>
      <c r="F74" s="20"/>
      <c r="G74" s="20"/>
      <c r="H74" s="20"/>
      <c r="I74" s="20"/>
      <c r="J74" s="20"/>
      <c r="K74" s="20"/>
      <c r="L74" s="20"/>
      <c r="M74" s="20"/>
      <c r="N74" s="20"/>
    </row>
    <row r="75" spans="1:14" ht="14.45" customHeight="1">
      <c r="A75" s="269" t="s">
        <v>372</v>
      </c>
      <c r="B75" s="201" t="s">
        <v>6</v>
      </c>
      <c r="C75" s="266">
        <v>8.56</v>
      </c>
      <c r="D75" s="282" t="s">
        <v>358</v>
      </c>
      <c r="E75" s="279"/>
      <c r="F75" s="20"/>
      <c r="G75" s="20"/>
      <c r="H75" s="20"/>
      <c r="I75" s="20"/>
      <c r="J75" s="20"/>
      <c r="K75" s="20"/>
      <c r="L75" s="20"/>
      <c r="M75" s="20"/>
      <c r="N75" s="20"/>
    </row>
    <row r="76" spans="1:14" ht="14.45" customHeight="1">
      <c r="A76" s="268" t="s">
        <v>373</v>
      </c>
      <c r="B76" s="200" t="s">
        <v>6</v>
      </c>
      <c r="C76" s="265">
        <v>10.58</v>
      </c>
      <c r="D76" s="283" t="s">
        <v>358</v>
      </c>
      <c r="E76" s="244"/>
      <c r="F76" s="20"/>
      <c r="G76" s="20"/>
      <c r="H76" s="20"/>
      <c r="I76" s="20"/>
      <c r="J76" s="20"/>
      <c r="K76" s="20"/>
      <c r="L76" s="20"/>
      <c r="M76" s="20"/>
      <c r="N76" s="20"/>
    </row>
    <row r="77" spans="1:14" ht="14.45" customHeight="1">
      <c r="A77" s="268" t="s">
        <v>380</v>
      </c>
      <c r="B77" s="200" t="s">
        <v>6</v>
      </c>
      <c r="C77" s="265">
        <v>16.34</v>
      </c>
      <c r="D77" s="283" t="s">
        <v>358</v>
      </c>
      <c r="E77" s="244"/>
      <c r="F77" s="20"/>
      <c r="G77" s="20"/>
      <c r="H77" s="20"/>
      <c r="I77" s="20"/>
      <c r="J77" s="20"/>
      <c r="K77" s="20"/>
      <c r="L77" s="20"/>
      <c r="M77" s="20"/>
      <c r="N77" s="20"/>
    </row>
    <row r="78" spans="1:14" ht="14.45" customHeight="1">
      <c r="A78" s="268" t="s">
        <v>372</v>
      </c>
      <c r="B78" s="200" t="s">
        <v>221</v>
      </c>
      <c r="C78" s="265">
        <v>8.56</v>
      </c>
      <c r="D78" s="283" t="s">
        <v>358</v>
      </c>
      <c r="E78" s="244"/>
      <c r="F78" s="20"/>
      <c r="G78" s="20"/>
      <c r="H78" s="20"/>
      <c r="I78" s="20"/>
      <c r="J78" s="20"/>
      <c r="K78" s="20"/>
      <c r="L78" s="20"/>
      <c r="M78" s="20"/>
      <c r="N78" s="20"/>
    </row>
    <row r="79" spans="1:14" ht="14.45" customHeight="1">
      <c r="A79" s="268" t="s">
        <v>373</v>
      </c>
      <c r="B79" s="200" t="s">
        <v>221</v>
      </c>
      <c r="C79" s="265">
        <v>10.58</v>
      </c>
      <c r="D79" s="283" t="s">
        <v>358</v>
      </c>
      <c r="E79" s="244"/>
      <c r="F79" s="20"/>
      <c r="G79" s="20"/>
      <c r="H79" s="20"/>
      <c r="I79" s="20"/>
      <c r="J79" s="20"/>
      <c r="K79" s="20"/>
      <c r="L79" s="20"/>
      <c r="M79" s="20"/>
      <c r="N79" s="20"/>
    </row>
    <row r="80" spans="1:14" ht="14.45" customHeight="1" thickBot="1">
      <c r="A80" s="268" t="s">
        <v>380</v>
      </c>
      <c r="B80" s="200" t="s">
        <v>221</v>
      </c>
      <c r="C80" s="265">
        <v>16.34</v>
      </c>
      <c r="D80" s="283" t="s">
        <v>358</v>
      </c>
      <c r="E80" s="244"/>
      <c r="F80" s="20"/>
      <c r="G80" s="20"/>
      <c r="H80" s="20"/>
      <c r="I80" s="20"/>
      <c r="J80" s="20"/>
      <c r="K80" s="20"/>
      <c r="L80" s="20"/>
      <c r="M80" s="20"/>
      <c r="N80" s="20"/>
    </row>
    <row r="81" spans="1:15" ht="14.45" hidden="1" customHeight="1">
      <c r="A81" s="262" t="s">
        <v>261</v>
      </c>
      <c r="B81" s="241" t="s">
        <v>6</v>
      </c>
      <c r="C81" s="274"/>
      <c r="D81" s="284" t="s">
        <v>358</v>
      </c>
      <c r="E81" s="246"/>
      <c r="F81" s="20"/>
      <c r="G81" s="20"/>
      <c r="H81" s="20"/>
      <c r="I81" s="20"/>
      <c r="J81" s="20"/>
      <c r="K81" s="20"/>
      <c r="L81" s="20"/>
      <c r="M81" s="20"/>
      <c r="N81" s="20"/>
    </row>
    <row r="82" spans="1:15" ht="14.45" hidden="1" customHeight="1" thickBot="1">
      <c r="A82" s="262" t="s">
        <v>261</v>
      </c>
      <c r="B82" s="241" t="s">
        <v>221</v>
      </c>
      <c r="C82" s="274"/>
      <c r="D82" s="284" t="s">
        <v>358</v>
      </c>
      <c r="E82" s="248"/>
      <c r="F82" s="20"/>
      <c r="G82" s="710" t="s">
        <v>226</v>
      </c>
      <c r="H82" s="710"/>
      <c r="I82" s="710"/>
      <c r="J82" s="710"/>
      <c r="K82" s="710"/>
      <c r="L82" s="710"/>
      <c r="M82" s="710"/>
      <c r="N82" s="710"/>
      <c r="O82" s="20"/>
    </row>
    <row r="83" spans="1:15" ht="14.45" customHeight="1" thickBot="1">
      <c r="A83" s="690" t="s">
        <v>371</v>
      </c>
      <c r="B83" s="691"/>
      <c r="C83" s="691"/>
      <c r="D83" s="691"/>
      <c r="E83" s="692"/>
      <c r="F83" s="20"/>
      <c r="G83" s="710" t="s">
        <v>227</v>
      </c>
      <c r="H83" s="710"/>
      <c r="I83" s="710"/>
      <c r="J83" s="710"/>
      <c r="K83" s="710"/>
      <c r="L83" s="710"/>
      <c r="M83" s="710"/>
      <c r="N83" s="710"/>
      <c r="O83" s="20"/>
    </row>
    <row r="84" spans="1:15" ht="14.45" customHeight="1">
      <c r="A84" s="440" t="s">
        <v>374</v>
      </c>
      <c r="B84" s="237" t="s">
        <v>23</v>
      </c>
      <c r="C84" s="272">
        <v>8.7899999999999991</v>
      </c>
      <c r="D84" s="441" t="s">
        <v>358</v>
      </c>
      <c r="E84" s="442"/>
      <c r="F84" s="20"/>
      <c r="G84" s="601" t="s">
        <v>188</v>
      </c>
      <c r="H84" s="601"/>
      <c r="I84" s="601"/>
      <c r="J84" s="601"/>
      <c r="K84" s="601"/>
      <c r="L84" s="601"/>
      <c r="M84" s="601"/>
      <c r="N84" s="601"/>
      <c r="O84" s="20"/>
    </row>
    <row r="85" spans="1:15" ht="14.45" customHeight="1">
      <c r="A85" s="268" t="s">
        <v>375</v>
      </c>
      <c r="B85" s="200" t="s">
        <v>23</v>
      </c>
      <c r="C85" s="265">
        <v>53.86</v>
      </c>
      <c r="D85" s="283" t="s">
        <v>357</v>
      </c>
      <c r="E85" s="285">
        <v>3</v>
      </c>
      <c r="F85" s="20"/>
      <c r="G85" s="703" t="s">
        <v>90</v>
      </c>
      <c r="H85" s="703"/>
      <c r="I85" s="703"/>
      <c r="J85" s="703"/>
      <c r="K85" s="703"/>
      <c r="L85" s="703"/>
      <c r="M85" s="703"/>
      <c r="N85" s="703"/>
      <c r="O85" s="20"/>
    </row>
    <row r="86" spans="1:15" ht="14.45" customHeight="1">
      <c r="A86" s="268" t="s">
        <v>381</v>
      </c>
      <c r="B86" s="200" t="s">
        <v>23</v>
      </c>
      <c r="C86" s="265">
        <v>66.790000000000006</v>
      </c>
      <c r="D86" s="283" t="s">
        <v>357</v>
      </c>
      <c r="E86" s="285">
        <v>2.65</v>
      </c>
      <c r="F86" s="20"/>
      <c r="G86" s="703" t="s">
        <v>265</v>
      </c>
      <c r="H86" s="703"/>
      <c r="I86" s="703"/>
      <c r="J86" s="703"/>
      <c r="K86" s="703"/>
      <c r="L86" s="703"/>
      <c r="M86" s="703"/>
      <c r="N86" s="703"/>
      <c r="O86" s="703"/>
    </row>
    <row r="87" spans="1:15" ht="14.1" customHeight="1">
      <c r="A87" s="268" t="s">
        <v>374</v>
      </c>
      <c r="B87" s="200" t="s">
        <v>221</v>
      </c>
      <c r="C87" s="265">
        <v>11.05</v>
      </c>
      <c r="D87" s="283" t="s">
        <v>358</v>
      </c>
      <c r="E87" s="285"/>
      <c r="F87" s="20"/>
      <c r="G87" s="20"/>
      <c r="H87" s="20"/>
      <c r="I87" s="20"/>
      <c r="J87" s="20"/>
      <c r="K87" s="20"/>
      <c r="L87" s="20"/>
      <c r="M87" s="20"/>
      <c r="N87" s="20"/>
    </row>
    <row r="88" spans="1:15" ht="14.1" customHeight="1">
      <c r="A88" s="268" t="s">
        <v>375</v>
      </c>
      <c r="B88" s="200" t="s">
        <v>221</v>
      </c>
      <c r="C88" s="265">
        <v>58.72</v>
      </c>
      <c r="D88" s="283" t="s">
        <v>357</v>
      </c>
      <c r="E88" s="285">
        <v>3</v>
      </c>
      <c r="F88" s="20"/>
      <c r="G88" s="20"/>
      <c r="H88" s="20"/>
      <c r="I88" s="20"/>
      <c r="J88" s="20"/>
      <c r="K88" s="20"/>
      <c r="L88" s="20"/>
      <c r="M88" s="20"/>
      <c r="N88" s="20"/>
    </row>
    <row r="89" spans="1:15" ht="14.1" customHeight="1" thickBot="1">
      <c r="A89" s="268" t="s">
        <v>381</v>
      </c>
      <c r="B89" s="200" t="s">
        <v>221</v>
      </c>
      <c r="C89" s="265">
        <v>78.48</v>
      </c>
      <c r="D89" s="283" t="s">
        <v>357</v>
      </c>
      <c r="E89" s="285">
        <v>2.65</v>
      </c>
      <c r="F89" s="20"/>
      <c r="G89" s="20"/>
      <c r="H89" s="20"/>
      <c r="I89" s="20"/>
      <c r="J89" s="20"/>
      <c r="K89" s="20"/>
      <c r="L89" s="20"/>
      <c r="M89" s="20"/>
      <c r="N89" s="20"/>
    </row>
    <row r="90" spans="1:15" ht="14.45" hidden="1" customHeight="1">
      <c r="A90" s="262" t="s">
        <v>295</v>
      </c>
      <c r="B90" s="241" t="s">
        <v>23</v>
      </c>
      <c r="C90" s="274"/>
      <c r="D90" s="250" t="s">
        <v>376</v>
      </c>
      <c r="E90" s="249"/>
    </row>
    <row r="91" spans="1:15" ht="14.45" hidden="1" customHeight="1" thickBot="1">
      <c r="A91" s="263" t="s">
        <v>295</v>
      </c>
      <c r="B91" s="243" t="s">
        <v>221</v>
      </c>
      <c r="C91" s="286"/>
      <c r="D91" s="250" t="s">
        <v>376</v>
      </c>
      <c r="E91" s="275"/>
    </row>
    <row r="92" spans="1:15" ht="14.1" customHeight="1">
      <c r="A92" s="701" t="s">
        <v>382</v>
      </c>
      <c r="B92" s="701"/>
      <c r="C92" s="281">
        <f>1.03*82.27</f>
        <v>84.738100000000003</v>
      </c>
      <c r="D92" s="280"/>
      <c r="E92" s="279"/>
    </row>
    <row r="93" spans="1:15" ht="14.45" customHeight="1" thickBot="1">
      <c r="A93" s="701" t="s">
        <v>383</v>
      </c>
      <c r="B93" s="701"/>
      <c r="C93" s="281">
        <f>1.03*82.27</f>
        <v>84.738100000000003</v>
      </c>
      <c r="D93" s="280"/>
      <c r="E93" s="245"/>
    </row>
    <row r="94" spans="1:15" ht="15.95" customHeight="1" thickBot="1">
      <c r="A94" s="670" t="s">
        <v>83</v>
      </c>
      <c r="B94" s="671"/>
      <c r="C94" s="671"/>
      <c r="D94" s="671"/>
      <c r="E94" s="672"/>
      <c r="F94" s="20"/>
      <c r="G94" s="20"/>
      <c r="H94" s="20"/>
      <c r="I94" s="20"/>
      <c r="J94" s="20"/>
      <c r="K94" s="20"/>
      <c r="L94" s="20"/>
      <c r="M94" s="20"/>
      <c r="N94" s="20"/>
    </row>
    <row r="95" spans="1:15" ht="14.45" customHeight="1">
      <c r="A95" s="683" t="s">
        <v>89</v>
      </c>
      <c r="B95" s="684"/>
      <c r="C95" s="445">
        <v>22.85</v>
      </c>
      <c r="D95" s="237"/>
      <c r="E95" s="442"/>
    </row>
    <row r="96" spans="1:15" ht="14.45" customHeight="1">
      <c r="A96" s="681" t="s">
        <v>428</v>
      </c>
      <c r="B96" s="682"/>
      <c r="C96" s="460">
        <v>24.8</v>
      </c>
      <c r="D96" s="200"/>
      <c r="E96" s="398"/>
    </row>
    <row r="97" spans="1:5" ht="14.45" customHeight="1">
      <c r="A97" s="681" t="s">
        <v>422</v>
      </c>
      <c r="B97" s="682"/>
      <c r="C97" s="460">
        <v>17.3</v>
      </c>
      <c r="D97" s="200"/>
      <c r="E97" s="398"/>
    </row>
    <row r="98" spans="1:5" ht="14.45" customHeight="1">
      <c r="A98" s="681" t="s">
        <v>429</v>
      </c>
      <c r="B98" s="682"/>
      <c r="C98" s="460">
        <v>18.8</v>
      </c>
      <c r="D98" s="200"/>
      <c r="E98" s="398"/>
    </row>
    <row r="99" spans="1:5" ht="14.45" customHeight="1" thickBot="1">
      <c r="A99" s="685" t="s">
        <v>423</v>
      </c>
      <c r="B99" s="686"/>
      <c r="C99" s="446">
        <v>29.67</v>
      </c>
      <c r="D99" s="287"/>
      <c r="E99" s="245"/>
    </row>
    <row r="100" spans="1:5" ht="14.45" customHeight="1" thickBot="1">
      <c r="A100" s="667" t="s">
        <v>418</v>
      </c>
      <c r="B100" s="668"/>
      <c r="C100" s="669"/>
      <c r="D100" s="20"/>
      <c r="E100" s="20"/>
    </row>
    <row r="101" spans="1:5" ht="14.45" customHeight="1" thickBot="1">
      <c r="A101" s="677" t="s">
        <v>417</v>
      </c>
      <c r="B101" s="678"/>
      <c r="C101" s="405">
        <v>0.3</v>
      </c>
      <c r="D101" s="20"/>
      <c r="E101" s="20"/>
    </row>
    <row r="102" spans="1:5" ht="14.45" customHeight="1">
      <c r="A102" s="15"/>
      <c r="B102" s="137"/>
      <c r="C102" s="16"/>
    </row>
    <row r="103" spans="1:5" ht="14.45" customHeight="1">
      <c r="C103" s="16"/>
    </row>
    <row r="104" spans="1:5" ht="14.45" customHeight="1">
      <c r="C104" s="16"/>
    </row>
    <row r="105" spans="1:5" ht="14.45" customHeight="1">
      <c r="C105" s="170"/>
    </row>
    <row r="109" spans="1:5" ht="14.45" customHeight="1">
      <c r="A109" s="79"/>
      <c r="B109" s="80"/>
      <c r="C109" s="16"/>
    </row>
    <row r="110" spans="1:5" ht="14.45" customHeight="1">
      <c r="A110" s="170"/>
      <c r="B110" s="170"/>
      <c r="C110" s="170"/>
    </row>
  </sheetData>
  <sheetProtection algorithmName="SHA-512" hashValue="09NBFlNTvcTxKtuE7NbI5M466kBOBiKqFz9oEcsndbCMcv75J752zKjl+suZva8w9OVDP9ZvYwdDcpwdvvlC/A==" saltValue="ljtRo2fKq4e0fTlhRxa2bQ==" spinCount="100000" sheet="1" objects="1" scenarios="1"/>
  <mergeCells count="41">
    <mergeCell ref="G86:O86"/>
    <mergeCell ref="A22:B22"/>
    <mergeCell ref="A23:B23"/>
    <mergeCell ref="G82:N82"/>
    <mergeCell ref="G83:N83"/>
    <mergeCell ref="G84:N84"/>
    <mergeCell ref="G85:N85"/>
    <mergeCell ref="G6:K6"/>
    <mergeCell ref="G5:K5"/>
    <mergeCell ref="A55:B55"/>
    <mergeCell ref="A56:B56"/>
    <mergeCell ref="A61:B61"/>
    <mergeCell ref="A20:B20"/>
    <mergeCell ref="A21:B21"/>
    <mergeCell ref="A72:B72"/>
    <mergeCell ref="A74:E74"/>
    <mergeCell ref="A83:E83"/>
    <mergeCell ref="A73:B73"/>
    <mergeCell ref="A94:E94"/>
    <mergeCell ref="A92:B92"/>
    <mergeCell ref="A93:B93"/>
    <mergeCell ref="A2:E2"/>
    <mergeCell ref="A24:E24"/>
    <mergeCell ref="A63:E63"/>
    <mergeCell ref="A50:B50"/>
    <mergeCell ref="A51:B51"/>
    <mergeCell ref="A52:B52"/>
    <mergeCell ref="A53:B53"/>
    <mergeCell ref="A54:B54"/>
    <mergeCell ref="A62:B62"/>
    <mergeCell ref="A60:B60"/>
    <mergeCell ref="A59:B59"/>
    <mergeCell ref="A58:B58"/>
    <mergeCell ref="A57:B57"/>
    <mergeCell ref="A96:B96"/>
    <mergeCell ref="A98:B98"/>
    <mergeCell ref="A100:C100"/>
    <mergeCell ref="A101:B101"/>
    <mergeCell ref="A95:B95"/>
    <mergeCell ref="A99:B99"/>
    <mergeCell ref="A97:B97"/>
  </mergeCells>
  <phoneticPr fontId="37" type="noConversion"/>
  <pageMargins left="0.7" right="0.7" top="0.75" bottom="0.75" header="0.3" footer="0.3"/>
  <pageSetup paperSize="9" scale="96"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6"/>
  <dimension ref="A1:E31"/>
  <sheetViews>
    <sheetView zoomScaleNormal="100" workbookViewId="0">
      <selection activeCell="C1" sqref="C1:C1048576"/>
    </sheetView>
  </sheetViews>
  <sheetFormatPr defaultColWidth="8.85546875" defaultRowHeight="15"/>
  <cols>
    <col min="1" max="1" width="71.42578125" customWidth="1"/>
    <col min="2" max="2" width="17.7109375" customWidth="1"/>
    <col min="3" max="3" width="10" hidden="1" customWidth="1"/>
    <col min="4" max="4" width="10.28515625" customWidth="1"/>
  </cols>
  <sheetData>
    <row r="1" spans="1:5" ht="30" customHeight="1" thickBot="1">
      <c r="A1" s="311" t="s">
        <v>82</v>
      </c>
      <c r="B1" s="312" t="s">
        <v>0</v>
      </c>
      <c r="C1" s="313" t="s">
        <v>385</v>
      </c>
    </row>
    <row r="2" spans="1:5" s="42" customFormat="1" ht="15" customHeight="1" thickBot="1">
      <c r="A2" s="711" t="s">
        <v>389</v>
      </c>
      <c r="B2" s="712"/>
      <c r="C2" s="713"/>
      <c r="E2" s="79" t="s">
        <v>222</v>
      </c>
    </row>
    <row r="3" spans="1:5" ht="15" customHeight="1">
      <c r="A3" s="306" t="s">
        <v>269</v>
      </c>
      <c r="B3" s="307" t="s">
        <v>221</v>
      </c>
      <c r="C3" s="308">
        <v>9.51</v>
      </c>
      <c r="E3" s="79" t="s">
        <v>223</v>
      </c>
    </row>
    <row r="4" spans="1:5" ht="15" customHeight="1">
      <c r="A4" s="309" t="s">
        <v>269</v>
      </c>
      <c r="B4" s="305" t="s">
        <v>23</v>
      </c>
      <c r="C4" s="310">
        <v>8.57</v>
      </c>
      <c r="E4" s="77" t="s">
        <v>224</v>
      </c>
    </row>
    <row r="5" spans="1:5" ht="15" customHeight="1">
      <c r="A5" s="309" t="s">
        <v>270</v>
      </c>
      <c r="B5" s="305" t="s">
        <v>221</v>
      </c>
      <c r="C5" s="310">
        <v>9.51</v>
      </c>
    </row>
    <row r="6" spans="1:5" ht="15" customHeight="1" thickBot="1">
      <c r="A6" s="309" t="s">
        <v>270</v>
      </c>
      <c r="B6" s="305" t="s">
        <v>23</v>
      </c>
      <c r="C6" s="310">
        <v>8.57</v>
      </c>
    </row>
    <row r="7" spans="1:5" ht="15" hidden="1" customHeight="1">
      <c r="A7" s="262" t="s">
        <v>271</v>
      </c>
      <c r="B7" s="319" t="s">
        <v>221</v>
      </c>
      <c r="C7" s="315"/>
    </row>
    <row r="8" spans="1:5" ht="15" hidden="1" customHeight="1" thickBot="1">
      <c r="A8" s="316" t="s">
        <v>271</v>
      </c>
      <c r="B8" s="317" t="s">
        <v>23</v>
      </c>
      <c r="C8" s="320"/>
    </row>
    <row r="9" spans="1:5" ht="15" customHeight="1" thickBot="1">
      <c r="A9" s="714" t="s">
        <v>128</v>
      </c>
      <c r="B9" s="715"/>
      <c r="C9" s="716"/>
    </row>
    <row r="10" spans="1:5" ht="15" customHeight="1">
      <c r="A10" s="306" t="s">
        <v>397</v>
      </c>
      <c r="B10" s="307" t="s">
        <v>23</v>
      </c>
      <c r="C10" s="308">
        <v>15.41</v>
      </c>
    </row>
    <row r="11" spans="1:5" ht="15" customHeight="1">
      <c r="A11" s="309" t="s">
        <v>398</v>
      </c>
      <c r="B11" s="305" t="s">
        <v>23</v>
      </c>
      <c r="C11" s="310">
        <v>13.99</v>
      </c>
    </row>
    <row r="12" spans="1:5" ht="15" customHeight="1">
      <c r="A12" s="253" t="s">
        <v>397</v>
      </c>
      <c r="B12" s="305" t="s">
        <v>8</v>
      </c>
      <c r="C12" s="323">
        <v>12.21</v>
      </c>
    </row>
    <row r="13" spans="1:5" ht="15" customHeight="1">
      <c r="A13" s="253" t="s">
        <v>398</v>
      </c>
      <c r="B13" s="305" t="s">
        <v>8</v>
      </c>
      <c r="C13" s="323">
        <v>11.26</v>
      </c>
    </row>
    <row r="14" spans="1:5" ht="15" customHeight="1">
      <c r="A14" s="253" t="s">
        <v>397</v>
      </c>
      <c r="B14" s="305" t="s">
        <v>221</v>
      </c>
      <c r="C14" s="323">
        <v>17.54</v>
      </c>
    </row>
    <row r="15" spans="1:5" ht="15" customHeight="1" thickBot="1">
      <c r="A15" s="253" t="s">
        <v>398</v>
      </c>
      <c r="B15" s="305" t="s">
        <v>221</v>
      </c>
      <c r="C15" s="323">
        <v>15.87</v>
      </c>
    </row>
    <row r="16" spans="1:5" ht="15" hidden="1" customHeight="1">
      <c r="A16" s="262" t="s">
        <v>130</v>
      </c>
      <c r="B16" s="319" t="s">
        <v>23</v>
      </c>
      <c r="C16" s="315"/>
    </row>
    <row r="17" spans="1:3" ht="15" hidden="1" customHeight="1">
      <c r="A17" s="262" t="s">
        <v>130</v>
      </c>
      <c r="B17" s="314" t="s">
        <v>8</v>
      </c>
      <c r="C17" s="315"/>
    </row>
    <row r="18" spans="1:3" ht="15" hidden="1" customHeight="1" thickBot="1">
      <c r="A18" s="316" t="s">
        <v>130</v>
      </c>
      <c r="B18" s="317" t="s">
        <v>221</v>
      </c>
      <c r="C18" s="318"/>
    </row>
    <row r="19" spans="1:3" ht="15" customHeight="1" thickBot="1">
      <c r="A19" s="714" t="s">
        <v>405</v>
      </c>
      <c r="B19" s="715"/>
      <c r="C19" s="716"/>
    </row>
    <row r="20" spans="1:3" ht="15" customHeight="1">
      <c r="A20" s="421" t="s">
        <v>407</v>
      </c>
      <c r="B20" s="307" t="s">
        <v>23</v>
      </c>
      <c r="C20" s="308">
        <v>5</v>
      </c>
    </row>
    <row r="21" spans="1:3" ht="15" customHeight="1" thickBot="1">
      <c r="A21" s="422" t="s">
        <v>408</v>
      </c>
      <c r="B21" s="305" t="s">
        <v>221</v>
      </c>
      <c r="C21" s="310">
        <v>5.5</v>
      </c>
    </row>
    <row r="22" spans="1:3" ht="15" customHeight="1" thickBot="1">
      <c r="A22" s="717" t="s">
        <v>404</v>
      </c>
      <c r="B22" s="718"/>
      <c r="C22" s="719"/>
    </row>
    <row r="23" spans="1:3" ht="15" customHeight="1" thickBot="1">
      <c r="A23" s="725" t="s">
        <v>394</v>
      </c>
      <c r="B23" s="726"/>
      <c r="C23" s="322">
        <v>2.56</v>
      </c>
    </row>
    <row r="24" spans="1:3" ht="15.75" thickBot="1">
      <c r="A24" s="717" t="s">
        <v>83</v>
      </c>
      <c r="B24" s="718"/>
      <c r="C24" s="719"/>
    </row>
    <row r="25" spans="1:3">
      <c r="A25" s="723" t="s">
        <v>272</v>
      </c>
      <c r="B25" s="724"/>
      <c r="C25" s="447">
        <v>22.36</v>
      </c>
    </row>
    <row r="26" spans="1:3" ht="15.75" thickBot="1">
      <c r="A26" s="720" t="s">
        <v>84</v>
      </c>
      <c r="B26" s="721"/>
      <c r="C26" s="448">
        <v>22</v>
      </c>
    </row>
    <row r="27" spans="1:3" ht="15.75" thickBot="1">
      <c r="A27" s="720" t="s">
        <v>424</v>
      </c>
      <c r="B27" s="721"/>
      <c r="C27" s="448">
        <v>22.8</v>
      </c>
    </row>
    <row r="28" spans="1:3" ht="15.75" thickBot="1">
      <c r="A28" s="720" t="s">
        <v>420</v>
      </c>
      <c r="B28" s="722"/>
      <c r="C28" s="448">
        <v>27.75</v>
      </c>
    </row>
    <row r="29" spans="1:3">
      <c r="A29" s="79"/>
      <c r="B29" s="79"/>
      <c r="C29" s="15"/>
    </row>
    <row r="30" spans="1:3">
      <c r="A30" s="79"/>
      <c r="B30" s="79"/>
      <c r="C30" s="15"/>
    </row>
    <row r="31" spans="1:3">
      <c r="A31" s="77"/>
      <c r="B31" s="77"/>
      <c r="C31" s="78"/>
    </row>
  </sheetData>
  <sheetProtection algorithmName="SHA-512" hashValue="tHyhsbXSiTqUuML6zZOfcJ+RJsQUVmyztSbSRcSaSa2c5SWiFRr3etfZDyXW9MPni0px+u2dd5Ldpi+sQUIhCA==" saltValue="wq3xC2vAQfL80QgeCxKIKQ==" spinCount="100000" sheet="1" objects="1" scenarios="1"/>
  <mergeCells count="10">
    <mergeCell ref="A28:B28"/>
    <mergeCell ref="A25:B25"/>
    <mergeCell ref="A26:B26"/>
    <mergeCell ref="A22:C22"/>
    <mergeCell ref="A23:B23"/>
    <mergeCell ref="A2:C2"/>
    <mergeCell ref="A9:C9"/>
    <mergeCell ref="A24:C24"/>
    <mergeCell ref="A19:C19"/>
    <mergeCell ref="A27:B27"/>
  </mergeCells>
  <pageMargins left="0.7" right="0.7" top="0.75" bottom="0.75" header="0.3" footer="0.3"/>
  <pageSetup paperSize="9" scale="98"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8">
    <pageSetUpPr fitToPage="1"/>
  </sheetPr>
  <dimension ref="A1:L177"/>
  <sheetViews>
    <sheetView zoomScale="125" zoomScaleNormal="100" workbookViewId="0">
      <selection activeCell="C1" sqref="C1:C1048576"/>
    </sheetView>
  </sheetViews>
  <sheetFormatPr defaultColWidth="8.85546875" defaultRowHeight="12.75"/>
  <cols>
    <col min="1" max="1" width="47.7109375" style="11" customWidth="1"/>
    <col min="2" max="2" width="14.7109375" style="13" customWidth="1"/>
    <col min="3" max="3" width="14.7109375" style="14" hidden="1" customWidth="1"/>
    <col min="4" max="5" width="9.140625" style="11" customWidth="1"/>
    <col min="6" max="247" width="8.85546875" style="11"/>
    <col min="248" max="248" width="14.42578125" style="11" customWidth="1"/>
    <col min="249" max="250" width="12.7109375" style="11" customWidth="1"/>
    <col min="251" max="251" width="17.28515625" style="11" customWidth="1"/>
    <col min="252" max="252" width="10.42578125" style="11" customWidth="1"/>
    <col min="253" max="253" width="11.42578125" style="11" customWidth="1"/>
    <col min="254" max="254" width="8.42578125" style="11" customWidth="1"/>
    <col min="255" max="255" width="2" style="11" customWidth="1"/>
    <col min="256" max="261" width="2.42578125" style="11" customWidth="1"/>
    <col min="262" max="503" width="8.85546875" style="11"/>
    <col min="504" max="504" width="14.42578125" style="11" customWidth="1"/>
    <col min="505" max="506" width="12.7109375" style="11" customWidth="1"/>
    <col min="507" max="507" width="17.28515625" style="11" customWidth="1"/>
    <col min="508" max="508" width="10.42578125" style="11" customWidth="1"/>
    <col min="509" max="509" width="11.42578125" style="11" customWidth="1"/>
    <col min="510" max="510" width="8.42578125" style="11" customWidth="1"/>
    <col min="511" max="511" width="2" style="11" customWidth="1"/>
    <col min="512" max="517" width="2.42578125" style="11" customWidth="1"/>
    <col min="518" max="759" width="8.85546875" style="11"/>
    <col min="760" max="760" width="14.42578125" style="11" customWidth="1"/>
    <col min="761" max="762" width="12.7109375" style="11" customWidth="1"/>
    <col min="763" max="763" width="17.28515625" style="11" customWidth="1"/>
    <col min="764" max="764" width="10.42578125" style="11" customWidth="1"/>
    <col min="765" max="765" width="11.42578125" style="11" customWidth="1"/>
    <col min="766" max="766" width="8.42578125" style="11" customWidth="1"/>
    <col min="767" max="767" width="2" style="11" customWidth="1"/>
    <col min="768" max="773" width="2.42578125" style="11" customWidth="1"/>
    <col min="774" max="1015" width="8.85546875" style="11"/>
    <col min="1016" max="1016" width="14.42578125" style="11" customWidth="1"/>
    <col min="1017" max="1018" width="12.7109375" style="11" customWidth="1"/>
    <col min="1019" max="1019" width="17.28515625" style="11" customWidth="1"/>
    <col min="1020" max="1020" width="10.42578125" style="11" customWidth="1"/>
    <col min="1021" max="1021" width="11.42578125" style="11" customWidth="1"/>
    <col min="1022" max="1022" width="8.42578125" style="11" customWidth="1"/>
    <col min="1023" max="1023" width="2" style="11" customWidth="1"/>
    <col min="1024" max="1029" width="2.42578125" style="11" customWidth="1"/>
    <col min="1030" max="1271" width="8.85546875" style="11"/>
    <col min="1272" max="1272" width="14.42578125" style="11" customWidth="1"/>
    <col min="1273" max="1274" width="12.7109375" style="11" customWidth="1"/>
    <col min="1275" max="1275" width="17.28515625" style="11" customWidth="1"/>
    <col min="1276" max="1276" width="10.42578125" style="11" customWidth="1"/>
    <col min="1277" max="1277" width="11.42578125" style="11" customWidth="1"/>
    <col min="1278" max="1278" width="8.42578125" style="11" customWidth="1"/>
    <col min="1279" max="1279" width="2" style="11" customWidth="1"/>
    <col min="1280" max="1285" width="2.42578125" style="11" customWidth="1"/>
    <col min="1286" max="1527" width="8.85546875" style="11"/>
    <col min="1528" max="1528" width="14.42578125" style="11" customWidth="1"/>
    <col min="1529" max="1530" width="12.7109375" style="11" customWidth="1"/>
    <col min="1531" max="1531" width="17.28515625" style="11" customWidth="1"/>
    <col min="1532" max="1532" width="10.42578125" style="11" customWidth="1"/>
    <col min="1533" max="1533" width="11.42578125" style="11" customWidth="1"/>
    <col min="1534" max="1534" width="8.42578125" style="11" customWidth="1"/>
    <col min="1535" max="1535" width="2" style="11" customWidth="1"/>
    <col min="1536" max="1541" width="2.42578125" style="11" customWidth="1"/>
    <col min="1542" max="1783" width="8.85546875" style="11"/>
    <col min="1784" max="1784" width="14.42578125" style="11" customWidth="1"/>
    <col min="1785" max="1786" width="12.7109375" style="11" customWidth="1"/>
    <col min="1787" max="1787" width="17.28515625" style="11" customWidth="1"/>
    <col min="1788" max="1788" width="10.42578125" style="11" customWidth="1"/>
    <col min="1789" max="1789" width="11.42578125" style="11" customWidth="1"/>
    <col min="1790" max="1790" width="8.42578125" style="11" customWidth="1"/>
    <col min="1791" max="1791" width="2" style="11" customWidth="1"/>
    <col min="1792" max="1797" width="2.42578125" style="11" customWidth="1"/>
    <col min="1798" max="2039" width="8.85546875" style="11"/>
    <col min="2040" max="2040" width="14.42578125" style="11" customWidth="1"/>
    <col min="2041" max="2042" width="12.7109375" style="11" customWidth="1"/>
    <col min="2043" max="2043" width="17.28515625" style="11" customWidth="1"/>
    <col min="2044" max="2044" width="10.42578125" style="11" customWidth="1"/>
    <col min="2045" max="2045" width="11.42578125" style="11" customWidth="1"/>
    <col min="2046" max="2046" width="8.42578125" style="11" customWidth="1"/>
    <col min="2047" max="2047" width="2" style="11" customWidth="1"/>
    <col min="2048" max="2053" width="2.42578125" style="11" customWidth="1"/>
    <col min="2054" max="2295" width="8.85546875" style="11"/>
    <col min="2296" max="2296" width="14.42578125" style="11" customWidth="1"/>
    <col min="2297" max="2298" width="12.7109375" style="11" customWidth="1"/>
    <col min="2299" max="2299" width="17.28515625" style="11" customWidth="1"/>
    <col min="2300" max="2300" width="10.42578125" style="11" customWidth="1"/>
    <col min="2301" max="2301" width="11.42578125" style="11" customWidth="1"/>
    <col min="2302" max="2302" width="8.42578125" style="11" customWidth="1"/>
    <col min="2303" max="2303" width="2" style="11" customWidth="1"/>
    <col min="2304" max="2309" width="2.42578125" style="11" customWidth="1"/>
    <col min="2310" max="2551" width="8.85546875" style="11"/>
    <col min="2552" max="2552" width="14.42578125" style="11" customWidth="1"/>
    <col min="2553" max="2554" width="12.7109375" style="11" customWidth="1"/>
    <col min="2555" max="2555" width="17.28515625" style="11" customWidth="1"/>
    <col min="2556" max="2556" width="10.42578125" style="11" customWidth="1"/>
    <col min="2557" max="2557" width="11.42578125" style="11" customWidth="1"/>
    <col min="2558" max="2558" width="8.42578125" style="11" customWidth="1"/>
    <col min="2559" max="2559" width="2" style="11" customWidth="1"/>
    <col min="2560" max="2565" width="2.42578125" style="11" customWidth="1"/>
    <col min="2566" max="2807" width="8.85546875" style="11"/>
    <col min="2808" max="2808" width="14.42578125" style="11" customWidth="1"/>
    <col min="2809" max="2810" width="12.7109375" style="11" customWidth="1"/>
    <col min="2811" max="2811" width="17.28515625" style="11" customWidth="1"/>
    <col min="2812" max="2812" width="10.42578125" style="11" customWidth="1"/>
    <col min="2813" max="2813" width="11.42578125" style="11" customWidth="1"/>
    <col min="2814" max="2814" width="8.42578125" style="11" customWidth="1"/>
    <col min="2815" max="2815" width="2" style="11" customWidth="1"/>
    <col min="2816" max="2821" width="2.42578125" style="11" customWidth="1"/>
    <col min="2822" max="3063" width="8.85546875" style="11"/>
    <col min="3064" max="3064" width="14.42578125" style="11" customWidth="1"/>
    <col min="3065" max="3066" width="12.7109375" style="11" customWidth="1"/>
    <col min="3067" max="3067" width="17.28515625" style="11" customWidth="1"/>
    <col min="3068" max="3068" width="10.42578125" style="11" customWidth="1"/>
    <col min="3069" max="3069" width="11.42578125" style="11" customWidth="1"/>
    <col min="3070" max="3070" width="8.42578125" style="11" customWidth="1"/>
    <col min="3071" max="3071" width="2" style="11" customWidth="1"/>
    <col min="3072" max="3077" width="2.42578125" style="11" customWidth="1"/>
    <col min="3078" max="3319" width="8.85546875" style="11"/>
    <col min="3320" max="3320" width="14.42578125" style="11" customWidth="1"/>
    <col min="3321" max="3322" width="12.7109375" style="11" customWidth="1"/>
    <col min="3323" max="3323" width="17.28515625" style="11" customWidth="1"/>
    <col min="3324" max="3324" width="10.42578125" style="11" customWidth="1"/>
    <col min="3325" max="3325" width="11.42578125" style="11" customWidth="1"/>
    <col min="3326" max="3326" width="8.42578125" style="11" customWidth="1"/>
    <col min="3327" max="3327" width="2" style="11" customWidth="1"/>
    <col min="3328" max="3333" width="2.42578125" style="11" customWidth="1"/>
    <col min="3334" max="3575" width="8.85546875" style="11"/>
    <col min="3576" max="3576" width="14.42578125" style="11" customWidth="1"/>
    <col min="3577" max="3578" width="12.7109375" style="11" customWidth="1"/>
    <col min="3579" max="3579" width="17.28515625" style="11" customWidth="1"/>
    <col min="3580" max="3580" width="10.42578125" style="11" customWidth="1"/>
    <col min="3581" max="3581" width="11.42578125" style="11" customWidth="1"/>
    <col min="3582" max="3582" width="8.42578125" style="11" customWidth="1"/>
    <col min="3583" max="3583" width="2" style="11" customWidth="1"/>
    <col min="3584" max="3589" width="2.42578125" style="11" customWidth="1"/>
    <col min="3590" max="3831" width="8.85546875" style="11"/>
    <col min="3832" max="3832" width="14.42578125" style="11" customWidth="1"/>
    <col min="3833" max="3834" width="12.7109375" style="11" customWidth="1"/>
    <col min="3835" max="3835" width="17.28515625" style="11" customWidth="1"/>
    <col min="3836" max="3836" width="10.42578125" style="11" customWidth="1"/>
    <col min="3837" max="3837" width="11.42578125" style="11" customWidth="1"/>
    <col min="3838" max="3838" width="8.42578125" style="11" customWidth="1"/>
    <col min="3839" max="3839" width="2" style="11" customWidth="1"/>
    <col min="3840" max="3845" width="2.42578125" style="11" customWidth="1"/>
    <col min="3846" max="4087" width="8.85546875" style="11"/>
    <col min="4088" max="4088" width="14.42578125" style="11" customWidth="1"/>
    <col min="4089" max="4090" width="12.7109375" style="11" customWidth="1"/>
    <col min="4091" max="4091" width="17.28515625" style="11" customWidth="1"/>
    <col min="4092" max="4092" width="10.42578125" style="11" customWidth="1"/>
    <col min="4093" max="4093" width="11.42578125" style="11" customWidth="1"/>
    <col min="4094" max="4094" width="8.42578125" style="11" customWidth="1"/>
    <col min="4095" max="4095" width="2" style="11" customWidth="1"/>
    <col min="4096" max="4101" width="2.42578125" style="11" customWidth="1"/>
    <col min="4102" max="4343" width="8.85546875" style="11"/>
    <col min="4344" max="4344" width="14.42578125" style="11" customWidth="1"/>
    <col min="4345" max="4346" width="12.7109375" style="11" customWidth="1"/>
    <col min="4347" max="4347" width="17.28515625" style="11" customWidth="1"/>
    <col min="4348" max="4348" width="10.42578125" style="11" customWidth="1"/>
    <col min="4349" max="4349" width="11.42578125" style="11" customWidth="1"/>
    <col min="4350" max="4350" width="8.42578125" style="11" customWidth="1"/>
    <col min="4351" max="4351" width="2" style="11" customWidth="1"/>
    <col min="4352" max="4357" width="2.42578125" style="11" customWidth="1"/>
    <col min="4358" max="4599" width="8.85546875" style="11"/>
    <col min="4600" max="4600" width="14.42578125" style="11" customWidth="1"/>
    <col min="4601" max="4602" width="12.7109375" style="11" customWidth="1"/>
    <col min="4603" max="4603" width="17.28515625" style="11" customWidth="1"/>
    <col min="4604" max="4604" width="10.42578125" style="11" customWidth="1"/>
    <col min="4605" max="4605" width="11.42578125" style="11" customWidth="1"/>
    <col min="4606" max="4606" width="8.42578125" style="11" customWidth="1"/>
    <col min="4607" max="4607" width="2" style="11" customWidth="1"/>
    <col min="4608" max="4613" width="2.42578125" style="11" customWidth="1"/>
    <col min="4614" max="4855" width="8.85546875" style="11"/>
    <col min="4856" max="4856" width="14.42578125" style="11" customWidth="1"/>
    <col min="4857" max="4858" width="12.7109375" style="11" customWidth="1"/>
    <col min="4859" max="4859" width="17.28515625" style="11" customWidth="1"/>
    <col min="4860" max="4860" width="10.42578125" style="11" customWidth="1"/>
    <col min="4861" max="4861" width="11.42578125" style="11" customWidth="1"/>
    <col min="4862" max="4862" width="8.42578125" style="11" customWidth="1"/>
    <col min="4863" max="4863" width="2" style="11" customWidth="1"/>
    <col min="4864" max="4869" width="2.42578125" style="11" customWidth="1"/>
    <col min="4870" max="5111" width="8.85546875" style="11"/>
    <col min="5112" max="5112" width="14.42578125" style="11" customWidth="1"/>
    <col min="5113" max="5114" width="12.7109375" style="11" customWidth="1"/>
    <col min="5115" max="5115" width="17.28515625" style="11" customWidth="1"/>
    <col min="5116" max="5116" width="10.42578125" style="11" customWidth="1"/>
    <col min="5117" max="5117" width="11.42578125" style="11" customWidth="1"/>
    <col min="5118" max="5118" width="8.42578125" style="11" customWidth="1"/>
    <col min="5119" max="5119" width="2" style="11" customWidth="1"/>
    <col min="5120" max="5125" width="2.42578125" style="11" customWidth="1"/>
    <col min="5126" max="5367" width="8.85546875" style="11"/>
    <col min="5368" max="5368" width="14.42578125" style="11" customWidth="1"/>
    <col min="5369" max="5370" width="12.7109375" style="11" customWidth="1"/>
    <col min="5371" max="5371" width="17.28515625" style="11" customWidth="1"/>
    <col min="5372" max="5372" width="10.42578125" style="11" customWidth="1"/>
    <col min="5373" max="5373" width="11.42578125" style="11" customWidth="1"/>
    <col min="5374" max="5374" width="8.42578125" style="11" customWidth="1"/>
    <col min="5375" max="5375" width="2" style="11" customWidth="1"/>
    <col min="5376" max="5381" width="2.42578125" style="11" customWidth="1"/>
    <col min="5382" max="5623" width="8.85546875" style="11"/>
    <col min="5624" max="5624" width="14.42578125" style="11" customWidth="1"/>
    <col min="5625" max="5626" width="12.7109375" style="11" customWidth="1"/>
    <col min="5627" max="5627" width="17.28515625" style="11" customWidth="1"/>
    <col min="5628" max="5628" width="10.42578125" style="11" customWidth="1"/>
    <col min="5629" max="5629" width="11.42578125" style="11" customWidth="1"/>
    <col min="5630" max="5630" width="8.42578125" style="11" customWidth="1"/>
    <col min="5631" max="5631" width="2" style="11" customWidth="1"/>
    <col min="5632" max="5637" width="2.42578125" style="11" customWidth="1"/>
    <col min="5638" max="5879" width="8.85546875" style="11"/>
    <col min="5880" max="5880" width="14.42578125" style="11" customWidth="1"/>
    <col min="5881" max="5882" width="12.7109375" style="11" customWidth="1"/>
    <col min="5883" max="5883" width="17.28515625" style="11" customWidth="1"/>
    <col min="5884" max="5884" width="10.42578125" style="11" customWidth="1"/>
    <col min="5885" max="5885" width="11.42578125" style="11" customWidth="1"/>
    <col min="5886" max="5886" width="8.42578125" style="11" customWidth="1"/>
    <col min="5887" max="5887" width="2" style="11" customWidth="1"/>
    <col min="5888" max="5893" width="2.42578125" style="11" customWidth="1"/>
    <col min="5894" max="6135" width="8.85546875" style="11"/>
    <col min="6136" max="6136" width="14.42578125" style="11" customWidth="1"/>
    <col min="6137" max="6138" width="12.7109375" style="11" customWidth="1"/>
    <col min="6139" max="6139" width="17.28515625" style="11" customWidth="1"/>
    <col min="6140" max="6140" width="10.42578125" style="11" customWidth="1"/>
    <col min="6141" max="6141" width="11.42578125" style="11" customWidth="1"/>
    <col min="6142" max="6142" width="8.42578125" style="11" customWidth="1"/>
    <col min="6143" max="6143" width="2" style="11" customWidth="1"/>
    <col min="6144" max="6149" width="2.42578125" style="11" customWidth="1"/>
    <col min="6150" max="6391" width="8.85546875" style="11"/>
    <col min="6392" max="6392" width="14.42578125" style="11" customWidth="1"/>
    <col min="6393" max="6394" width="12.7109375" style="11" customWidth="1"/>
    <col min="6395" max="6395" width="17.28515625" style="11" customWidth="1"/>
    <col min="6396" max="6396" width="10.42578125" style="11" customWidth="1"/>
    <col min="6397" max="6397" width="11.42578125" style="11" customWidth="1"/>
    <col min="6398" max="6398" width="8.42578125" style="11" customWidth="1"/>
    <col min="6399" max="6399" width="2" style="11" customWidth="1"/>
    <col min="6400" max="6405" width="2.42578125" style="11" customWidth="1"/>
    <col min="6406" max="6647" width="8.85546875" style="11"/>
    <col min="6648" max="6648" width="14.42578125" style="11" customWidth="1"/>
    <col min="6649" max="6650" width="12.7109375" style="11" customWidth="1"/>
    <col min="6651" max="6651" width="17.28515625" style="11" customWidth="1"/>
    <col min="6652" max="6652" width="10.42578125" style="11" customWidth="1"/>
    <col min="6653" max="6653" width="11.42578125" style="11" customWidth="1"/>
    <col min="6654" max="6654" width="8.42578125" style="11" customWidth="1"/>
    <col min="6655" max="6655" width="2" style="11" customWidth="1"/>
    <col min="6656" max="6661" width="2.42578125" style="11" customWidth="1"/>
    <col min="6662" max="6903" width="8.85546875" style="11"/>
    <col min="6904" max="6904" width="14.42578125" style="11" customWidth="1"/>
    <col min="6905" max="6906" width="12.7109375" style="11" customWidth="1"/>
    <col min="6907" max="6907" width="17.28515625" style="11" customWidth="1"/>
    <col min="6908" max="6908" width="10.42578125" style="11" customWidth="1"/>
    <col min="6909" max="6909" width="11.42578125" style="11" customWidth="1"/>
    <col min="6910" max="6910" width="8.42578125" style="11" customWidth="1"/>
    <col min="6911" max="6911" width="2" style="11" customWidth="1"/>
    <col min="6912" max="6917" width="2.42578125" style="11" customWidth="1"/>
    <col min="6918" max="7159" width="8.85546875" style="11"/>
    <col min="7160" max="7160" width="14.42578125" style="11" customWidth="1"/>
    <col min="7161" max="7162" width="12.7109375" style="11" customWidth="1"/>
    <col min="7163" max="7163" width="17.28515625" style="11" customWidth="1"/>
    <col min="7164" max="7164" width="10.42578125" style="11" customWidth="1"/>
    <col min="7165" max="7165" width="11.42578125" style="11" customWidth="1"/>
    <col min="7166" max="7166" width="8.42578125" style="11" customWidth="1"/>
    <col min="7167" max="7167" width="2" style="11" customWidth="1"/>
    <col min="7168" max="7173" width="2.42578125" style="11" customWidth="1"/>
    <col min="7174" max="7415" width="8.85546875" style="11"/>
    <col min="7416" max="7416" width="14.42578125" style="11" customWidth="1"/>
    <col min="7417" max="7418" width="12.7109375" style="11" customWidth="1"/>
    <col min="7419" max="7419" width="17.28515625" style="11" customWidth="1"/>
    <col min="7420" max="7420" width="10.42578125" style="11" customWidth="1"/>
    <col min="7421" max="7421" width="11.42578125" style="11" customWidth="1"/>
    <col min="7422" max="7422" width="8.42578125" style="11" customWidth="1"/>
    <col min="7423" max="7423" width="2" style="11" customWidth="1"/>
    <col min="7424" max="7429" width="2.42578125" style="11" customWidth="1"/>
    <col min="7430" max="7671" width="8.85546875" style="11"/>
    <col min="7672" max="7672" width="14.42578125" style="11" customWidth="1"/>
    <col min="7673" max="7674" width="12.7109375" style="11" customWidth="1"/>
    <col min="7675" max="7675" width="17.28515625" style="11" customWidth="1"/>
    <col min="7676" max="7676" width="10.42578125" style="11" customWidth="1"/>
    <col min="7677" max="7677" width="11.42578125" style="11" customWidth="1"/>
    <col min="7678" max="7678" width="8.42578125" style="11" customWidth="1"/>
    <col min="7679" max="7679" width="2" style="11" customWidth="1"/>
    <col min="7680" max="7685" width="2.42578125" style="11" customWidth="1"/>
    <col min="7686" max="7927" width="8.85546875" style="11"/>
    <col min="7928" max="7928" width="14.42578125" style="11" customWidth="1"/>
    <col min="7929" max="7930" width="12.7109375" style="11" customWidth="1"/>
    <col min="7931" max="7931" width="17.28515625" style="11" customWidth="1"/>
    <col min="7932" max="7932" width="10.42578125" style="11" customWidth="1"/>
    <col min="7933" max="7933" width="11.42578125" style="11" customWidth="1"/>
    <col min="7934" max="7934" width="8.42578125" style="11" customWidth="1"/>
    <col min="7935" max="7935" width="2" style="11" customWidth="1"/>
    <col min="7936" max="7941" width="2.42578125" style="11" customWidth="1"/>
    <col min="7942" max="8183" width="8.85546875" style="11"/>
    <col min="8184" max="8184" width="14.42578125" style="11" customWidth="1"/>
    <col min="8185" max="8186" width="12.7109375" style="11" customWidth="1"/>
    <col min="8187" max="8187" width="17.28515625" style="11" customWidth="1"/>
    <col min="8188" max="8188" width="10.42578125" style="11" customWidth="1"/>
    <col min="8189" max="8189" width="11.42578125" style="11" customWidth="1"/>
    <col min="8190" max="8190" width="8.42578125" style="11" customWidth="1"/>
    <col min="8191" max="8191" width="2" style="11" customWidth="1"/>
    <col min="8192" max="8197" width="2.42578125" style="11" customWidth="1"/>
    <col min="8198" max="8439" width="8.85546875" style="11"/>
    <col min="8440" max="8440" width="14.42578125" style="11" customWidth="1"/>
    <col min="8441" max="8442" width="12.7109375" style="11" customWidth="1"/>
    <col min="8443" max="8443" width="17.28515625" style="11" customWidth="1"/>
    <col min="8444" max="8444" width="10.42578125" style="11" customWidth="1"/>
    <col min="8445" max="8445" width="11.42578125" style="11" customWidth="1"/>
    <col min="8446" max="8446" width="8.42578125" style="11" customWidth="1"/>
    <col min="8447" max="8447" width="2" style="11" customWidth="1"/>
    <col min="8448" max="8453" width="2.42578125" style="11" customWidth="1"/>
    <col min="8454" max="8695" width="8.85546875" style="11"/>
    <col min="8696" max="8696" width="14.42578125" style="11" customWidth="1"/>
    <col min="8697" max="8698" width="12.7109375" style="11" customWidth="1"/>
    <col min="8699" max="8699" width="17.28515625" style="11" customWidth="1"/>
    <col min="8700" max="8700" width="10.42578125" style="11" customWidth="1"/>
    <col min="8701" max="8701" width="11.42578125" style="11" customWidth="1"/>
    <col min="8702" max="8702" width="8.42578125" style="11" customWidth="1"/>
    <col min="8703" max="8703" width="2" style="11" customWidth="1"/>
    <col min="8704" max="8709" width="2.42578125" style="11" customWidth="1"/>
    <col min="8710" max="8951" width="8.85546875" style="11"/>
    <col min="8952" max="8952" width="14.42578125" style="11" customWidth="1"/>
    <col min="8953" max="8954" width="12.7109375" style="11" customWidth="1"/>
    <col min="8955" max="8955" width="17.28515625" style="11" customWidth="1"/>
    <col min="8956" max="8956" width="10.42578125" style="11" customWidth="1"/>
    <col min="8957" max="8957" width="11.42578125" style="11" customWidth="1"/>
    <col min="8958" max="8958" width="8.42578125" style="11" customWidth="1"/>
    <col min="8959" max="8959" width="2" style="11" customWidth="1"/>
    <col min="8960" max="8965" width="2.42578125" style="11" customWidth="1"/>
    <col min="8966" max="9207" width="8.85546875" style="11"/>
    <col min="9208" max="9208" width="14.42578125" style="11" customWidth="1"/>
    <col min="9209" max="9210" width="12.7109375" style="11" customWidth="1"/>
    <col min="9211" max="9211" width="17.28515625" style="11" customWidth="1"/>
    <col min="9212" max="9212" width="10.42578125" style="11" customWidth="1"/>
    <col min="9213" max="9213" width="11.42578125" style="11" customWidth="1"/>
    <col min="9214" max="9214" width="8.42578125" style="11" customWidth="1"/>
    <col min="9215" max="9215" width="2" style="11" customWidth="1"/>
    <col min="9216" max="9221" width="2.42578125" style="11" customWidth="1"/>
    <col min="9222" max="9463" width="8.85546875" style="11"/>
    <col min="9464" max="9464" width="14.42578125" style="11" customWidth="1"/>
    <col min="9465" max="9466" width="12.7109375" style="11" customWidth="1"/>
    <col min="9467" max="9467" width="17.28515625" style="11" customWidth="1"/>
    <col min="9468" max="9468" width="10.42578125" style="11" customWidth="1"/>
    <col min="9469" max="9469" width="11.42578125" style="11" customWidth="1"/>
    <col min="9470" max="9470" width="8.42578125" style="11" customWidth="1"/>
    <col min="9471" max="9471" width="2" style="11" customWidth="1"/>
    <col min="9472" max="9477" width="2.42578125" style="11" customWidth="1"/>
    <col min="9478" max="9719" width="8.85546875" style="11"/>
    <col min="9720" max="9720" width="14.42578125" style="11" customWidth="1"/>
    <col min="9721" max="9722" width="12.7109375" style="11" customWidth="1"/>
    <col min="9723" max="9723" width="17.28515625" style="11" customWidth="1"/>
    <col min="9724" max="9724" width="10.42578125" style="11" customWidth="1"/>
    <col min="9725" max="9725" width="11.42578125" style="11" customWidth="1"/>
    <col min="9726" max="9726" width="8.42578125" style="11" customWidth="1"/>
    <col min="9727" max="9727" width="2" style="11" customWidth="1"/>
    <col min="9728" max="9733" width="2.42578125" style="11" customWidth="1"/>
    <col min="9734" max="9975" width="8.85546875" style="11"/>
    <col min="9976" max="9976" width="14.42578125" style="11" customWidth="1"/>
    <col min="9977" max="9978" width="12.7109375" style="11" customWidth="1"/>
    <col min="9979" max="9979" width="17.28515625" style="11" customWidth="1"/>
    <col min="9980" max="9980" width="10.42578125" style="11" customWidth="1"/>
    <col min="9981" max="9981" width="11.42578125" style="11" customWidth="1"/>
    <col min="9982" max="9982" width="8.42578125" style="11" customWidth="1"/>
    <col min="9983" max="9983" width="2" style="11" customWidth="1"/>
    <col min="9984" max="9989" width="2.42578125" style="11" customWidth="1"/>
    <col min="9990" max="10231" width="8.85546875" style="11"/>
    <col min="10232" max="10232" width="14.42578125" style="11" customWidth="1"/>
    <col min="10233" max="10234" width="12.7109375" style="11" customWidth="1"/>
    <col min="10235" max="10235" width="17.28515625" style="11" customWidth="1"/>
    <col min="10236" max="10236" width="10.42578125" style="11" customWidth="1"/>
    <col min="10237" max="10237" width="11.42578125" style="11" customWidth="1"/>
    <col min="10238" max="10238" width="8.42578125" style="11" customWidth="1"/>
    <col min="10239" max="10239" width="2" style="11" customWidth="1"/>
    <col min="10240" max="10245" width="2.42578125" style="11" customWidth="1"/>
    <col min="10246" max="10487" width="8.85546875" style="11"/>
    <col min="10488" max="10488" width="14.42578125" style="11" customWidth="1"/>
    <col min="10489" max="10490" width="12.7109375" style="11" customWidth="1"/>
    <col min="10491" max="10491" width="17.28515625" style="11" customWidth="1"/>
    <col min="10492" max="10492" width="10.42578125" style="11" customWidth="1"/>
    <col min="10493" max="10493" width="11.42578125" style="11" customWidth="1"/>
    <col min="10494" max="10494" width="8.42578125" style="11" customWidth="1"/>
    <col min="10495" max="10495" width="2" style="11" customWidth="1"/>
    <col min="10496" max="10501" width="2.42578125" style="11" customWidth="1"/>
    <col min="10502" max="10743" width="8.85546875" style="11"/>
    <col min="10744" max="10744" width="14.42578125" style="11" customWidth="1"/>
    <col min="10745" max="10746" width="12.7109375" style="11" customWidth="1"/>
    <col min="10747" max="10747" width="17.28515625" style="11" customWidth="1"/>
    <col min="10748" max="10748" width="10.42578125" style="11" customWidth="1"/>
    <col min="10749" max="10749" width="11.42578125" style="11" customWidth="1"/>
    <col min="10750" max="10750" width="8.42578125" style="11" customWidth="1"/>
    <col min="10751" max="10751" width="2" style="11" customWidth="1"/>
    <col min="10752" max="10757" width="2.42578125" style="11" customWidth="1"/>
    <col min="10758" max="10999" width="8.85546875" style="11"/>
    <col min="11000" max="11000" width="14.42578125" style="11" customWidth="1"/>
    <col min="11001" max="11002" width="12.7109375" style="11" customWidth="1"/>
    <col min="11003" max="11003" width="17.28515625" style="11" customWidth="1"/>
    <col min="11004" max="11004" width="10.42578125" style="11" customWidth="1"/>
    <col min="11005" max="11005" width="11.42578125" style="11" customWidth="1"/>
    <col min="11006" max="11006" width="8.42578125" style="11" customWidth="1"/>
    <col min="11007" max="11007" width="2" style="11" customWidth="1"/>
    <col min="11008" max="11013" width="2.42578125" style="11" customWidth="1"/>
    <col min="11014" max="11255" width="8.85546875" style="11"/>
    <col min="11256" max="11256" width="14.42578125" style="11" customWidth="1"/>
    <col min="11257" max="11258" width="12.7109375" style="11" customWidth="1"/>
    <col min="11259" max="11259" width="17.28515625" style="11" customWidth="1"/>
    <col min="11260" max="11260" width="10.42578125" style="11" customWidth="1"/>
    <col min="11261" max="11261" width="11.42578125" style="11" customWidth="1"/>
    <col min="11262" max="11262" width="8.42578125" style="11" customWidth="1"/>
    <col min="11263" max="11263" width="2" style="11" customWidth="1"/>
    <col min="11264" max="11269" width="2.42578125" style="11" customWidth="1"/>
    <col min="11270" max="11511" width="8.85546875" style="11"/>
    <col min="11512" max="11512" width="14.42578125" style="11" customWidth="1"/>
    <col min="11513" max="11514" width="12.7109375" style="11" customWidth="1"/>
    <col min="11515" max="11515" width="17.28515625" style="11" customWidth="1"/>
    <col min="11516" max="11516" width="10.42578125" style="11" customWidth="1"/>
    <col min="11517" max="11517" width="11.42578125" style="11" customWidth="1"/>
    <col min="11518" max="11518" width="8.42578125" style="11" customWidth="1"/>
    <col min="11519" max="11519" width="2" style="11" customWidth="1"/>
    <col min="11520" max="11525" width="2.42578125" style="11" customWidth="1"/>
    <col min="11526" max="11767" width="8.85546875" style="11"/>
    <col min="11768" max="11768" width="14.42578125" style="11" customWidth="1"/>
    <col min="11769" max="11770" width="12.7109375" style="11" customWidth="1"/>
    <col min="11771" max="11771" width="17.28515625" style="11" customWidth="1"/>
    <col min="11772" max="11772" width="10.42578125" style="11" customWidth="1"/>
    <col min="11773" max="11773" width="11.42578125" style="11" customWidth="1"/>
    <col min="11774" max="11774" width="8.42578125" style="11" customWidth="1"/>
    <col min="11775" max="11775" width="2" style="11" customWidth="1"/>
    <col min="11776" max="11781" width="2.42578125" style="11" customWidth="1"/>
    <col min="11782" max="12023" width="8.85546875" style="11"/>
    <col min="12024" max="12024" width="14.42578125" style="11" customWidth="1"/>
    <col min="12025" max="12026" width="12.7109375" style="11" customWidth="1"/>
    <col min="12027" max="12027" width="17.28515625" style="11" customWidth="1"/>
    <col min="12028" max="12028" width="10.42578125" style="11" customWidth="1"/>
    <col min="12029" max="12029" width="11.42578125" style="11" customWidth="1"/>
    <col min="12030" max="12030" width="8.42578125" style="11" customWidth="1"/>
    <col min="12031" max="12031" width="2" style="11" customWidth="1"/>
    <col min="12032" max="12037" width="2.42578125" style="11" customWidth="1"/>
    <col min="12038" max="12279" width="8.85546875" style="11"/>
    <col min="12280" max="12280" width="14.42578125" style="11" customWidth="1"/>
    <col min="12281" max="12282" width="12.7109375" style="11" customWidth="1"/>
    <col min="12283" max="12283" width="17.28515625" style="11" customWidth="1"/>
    <col min="12284" max="12284" width="10.42578125" style="11" customWidth="1"/>
    <col min="12285" max="12285" width="11.42578125" style="11" customWidth="1"/>
    <col min="12286" max="12286" width="8.42578125" style="11" customWidth="1"/>
    <col min="12287" max="12287" width="2" style="11" customWidth="1"/>
    <col min="12288" max="12293" width="2.42578125" style="11" customWidth="1"/>
    <col min="12294" max="12535" width="8.85546875" style="11"/>
    <col min="12536" max="12536" width="14.42578125" style="11" customWidth="1"/>
    <col min="12537" max="12538" width="12.7109375" style="11" customWidth="1"/>
    <col min="12539" max="12539" width="17.28515625" style="11" customWidth="1"/>
    <col min="12540" max="12540" width="10.42578125" style="11" customWidth="1"/>
    <col min="12541" max="12541" width="11.42578125" style="11" customWidth="1"/>
    <col min="12542" max="12542" width="8.42578125" style="11" customWidth="1"/>
    <col min="12543" max="12543" width="2" style="11" customWidth="1"/>
    <col min="12544" max="12549" width="2.42578125" style="11" customWidth="1"/>
    <col min="12550" max="12791" width="8.85546875" style="11"/>
    <col min="12792" max="12792" width="14.42578125" style="11" customWidth="1"/>
    <col min="12793" max="12794" width="12.7109375" style="11" customWidth="1"/>
    <col min="12795" max="12795" width="17.28515625" style="11" customWidth="1"/>
    <col min="12796" max="12796" width="10.42578125" style="11" customWidth="1"/>
    <col min="12797" max="12797" width="11.42578125" style="11" customWidth="1"/>
    <col min="12798" max="12798" width="8.42578125" style="11" customWidth="1"/>
    <col min="12799" max="12799" width="2" style="11" customWidth="1"/>
    <col min="12800" max="12805" width="2.42578125" style="11" customWidth="1"/>
    <col min="12806" max="13047" width="8.85546875" style="11"/>
    <col min="13048" max="13048" width="14.42578125" style="11" customWidth="1"/>
    <col min="13049" max="13050" width="12.7109375" style="11" customWidth="1"/>
    <col min="13051" max="13051" width="17.28515625" style="11" customWidth="1"/>
    <col min="13052" max="13052" width="10.42578125" style="11" customWidth="1"/>
    <col min="13053" max="13053" width="11.42578125" style="11" customWidth="1"/>
    <col min="13054" max="13054" width="8.42578125" style="11" customWidth="1"/>
    <col min="13055" max="13055" width="2" style="11" customWidth="1"/>
    <col min="13056" max="13061" width="2.42578125" style="11" customWidth="1"/>
    <col min="13062" max="13303" width="8.85546875" style="11"/>
    <col min="13304" max="13304" width="14.42578125" style="11" customWidth="1"/>
    <col min="13305" max="13306" width="12.7109375" style="11" customWidth="1"/>
    <col min="13307" max="13307" width="17.28515625" style="11" customWidth="1"/>
    <col min="13308" max="13308" width="10.42578125" style="11" customWidth="1"/>
    <col min="13309" max="13309" width="11.42578125" style="11" customWidth="1"/>
    <col min="13310" max="13310" width="8.42578125" style="11" customWidth="1"/>
    <col min="13311" max="13311" width="2" style="11" customWidth="1"/>
    <col min="13312" max="13317" width="2.42578125" style="11" customWidth="1"/>
    <col min="13318" max="13559" width="8.85546875" style="11"/>
    <col min="13560" max="13560" width="14.42578125" style="11" customWidth="1"/>
    <col min="13561" max="13562" width="12.7109375" style="11" customWidth="1"/>
    <col min="13563" max="13563" width="17.28515625" style="11" customWidth="1"/>
    <col min="13564" max="13564" width="10.42578125" style="11" customWidth="1"/>
    <col min="13565" max="13565" width="11.42578125" style="11" customWidth="1"/>
    <col min="13566" max="13566" width="8.42578125" style="11" customWidth="1"/>
    <col min="13567" max="13567" width="2" style="11" customWidth="1"/>
    <col min="13568" max="13573" width="2.42578125" style="11" customWidth="1"/>
    <col min="13574" max="13815" width="8.85546875" style="11"/>
    <col min="13816" max="13816" width="14.42578125" style="11" customWidth="1"/>
    <col min="13817" max="13818" width="12.7109375" style="11" customWidth="1"/>
    <col min="13819" max="13819" width="17.28515625" style="11" customWidth="1"/>
    <col min="13820" max="13820" width="10.42578125" style="11" customWidth="1"/>
    <col min="13821" max="13821" width="11.42578125" style="11" customWidth="1"/>
    <col min="13822" max="13822" width="8.42578125" style="11" customWidth="1"/>
    <col min="13823" max="13823" width="2" style="11" customWidth="1"/>
    <col min="13824" max="13829" width="2.42578125" style="11" customWidth="1"/>
    <col min="13830" max="14071" width="8.85546875" style="11"/>
    <col min="14072" max="14072" width="14.42578125" style="11" customWidth="1"/>
    <col min="14073" max="14074" width="12.7109375" style="11" customWidth="1"/>
    <col min="14075" max="14075" width="17.28515625" style="11" customWidth="1"/>
    <col min="14076" max="14076" width="10.42578125" style="11" customWidth="1"/>
    <col min="14077" max="14077" width="11.42578125" style="11" customWidth="1"/>
    <col min="14078" max="14078" width="8.42578125" style="11" customWidth="1"/>
    <col min="14079" max="14079" width="2" style="11" customWidth="1"/>
    <col min="14080" max="14085" width="2.42578125" style="11" customWidth="1"/>
    <col min="14086" max="14327" width="8.85546875" style="11"/>
    <col min="14328" max="14328" width="14.42578125" style="11" customWidth="1"/>
    <col min="14329" max="14330" width="12.7109375" style="11" customWidth="1"/>
    <col min="14331" max="14331" width="17.28515625" style="11" customWidth="1"/>
    <col min="14332" max="14332" width="10.42578125" style="11" customWidth="1"/>
    <col min="14333" max="14333" width="11.42578125" style="11" customWidth="1"/>
    <col min="14334" max="14334" width="8.42578125" style="11" customWidth="1"/>
    <col min="14335" max="14335" width="2" style="11" customWidth="1"/>
    <col min="14336" max="14341" width="2.42578125" style="11" customWidth="1"/>
    <col min="14342" max="14583" width="8.85546875" style="11"/>
    <col min="14584" max="14584" width="14.42578125" style="11" customWidth="1"/>
    <col min="14585" max="14586" width="12.7109375" style="11" customWidth="1"/>
    <col min="14587" max="14587" width="17.28515625" style="11" customWidth="1"/>
    <col min="14588" max="14588" width="10.42578125" style="11" customWidth="1"/>
    <col min="14589" max="14589" width="11.42578125" style="11" customWidth="1"/>
    <col min="14590" max="14590" width="8.42578125" style="11" customWidth="1"/>
    <col min="14591" max="14591" width="2" style="11" customWidth="1"/>
    <col min="14592" max="14597" width="2.42578125" style="11" customWidth="1"/>
    <col min="14598" max="14839" width="8.85546875" style="11"/>
    <col min="14840" max="14840" width="14.42578125" style="11" customWidth="1"/>
    <col min="14841" max="14842" width="12.7109375" style="11" customWidth="1"/>
    <col min="14843" max="14843" width="17.28515625" style="11" customWidth="1"/>
    <col min="14844" max="14844" width="10.42578125" style="11" customWidth="1"/>
    <col min="14845" max="14845" width="11.42578125" style="11" customWidth="1"/>
    <col min="14846" max="14846" width="8.42578125" style="11" customWidth="1"/>
    <col min="14847" max="14847" width="2" style="11" customWidth="1"/>
    <col min="14848" max="14853" width="2.42578125" style="11" customWidth="1"/>
    <col min="14854" max="15095" width="8.85546875" style="11"/>
    <col min="15096" max="15096" width="14.42578125" style="11" customWidth="1"/>
    <col min="15097" max="15098" width="12.7109375" style="11" customWidth="1"/>
    <col min="15099" max="15099" width="17.28515625" style="11" customWidth="1"/>
    <col min="15100" max="15100" width="10.42578125" style="11" customWidth="1"/>
    <col min="15101" max="15101" width="11.42578125" style="11" customWidth="1"/>
    <col min="15102" max="15102" width="8.42578125" style="11" customWidth="1"/>
    <col min="15103" max="15103" width="2" style="11" customWidth="1"/>
    <col min="15104" max="15109" width="2.42578125" style="11" customWidth="1"/>
    <col min="15110" max="15351" width="8.85546875" style="11"/>
    <col min="15352" max="15352" width="14.42578125" style="11" customWidth="1"/>
    <col min="15353" max="15354" width="12.7109375" style="11" customWidth="1"/>
    <col min="15355" max="15355" width="17.28515625" style="11" customWidth="1"/>
    <col min="15356" max="15356" width="10.42578125" style="11" customWidth="1"/>
    <col min="15357" max="15357" width="11.42578125" style="11" customWidth="1"/>
    <col min="15358" max="15358" width="8.42578125" style="11" customWidth="1"/>
    <col min="15359" max="15359" width="2" style="11" customWidth="1"/>
    <col min="15360" max="15365" width="2.42578125" style="11" customWidth="1"/>
    <col min="15366" max="15607" width="8.85546875" style="11"/>
    <col min="15608" max="15608" width="14.42578125" style="11" customWidth="1"/>
    <col min="15609" max="15610" width="12.7109375" style="11" customWidth="1"/>
    <col min="15611" max="15611" width="17.28515625" style="11" customWidth="1"/>
    <col min="15612" max="15612" width="10.42578125" style="11" customWidth="1"/>
    <col min="15613" max="15613" width="11.42578125" style="11" customWidth="1"/>
    <col min="15614" max="15614" width="8.42578125" style="11" customWidth="1"/>
    <col min="15615" max="15615" width="2" style="11" customWidth="1"/>
    <col min="15616" max="15621" width="2.42578125" style="11" customWidth="1"/>
    <col min="15622" max="15863" width="8.85546875" style="11"/>
    <col min="15864" max="15864" width="14.42578125" style="11" customWidth="1"/>
    <col min="15865" max="15866" width="12.7109375" style="11" customWidth="1"/>
    <col min="15867" max="15867" width="17.28515625" style="11" customWidth="1"/>
    <col min="15868" max="15868" width="10.42578125" style="11" customWidth="1"/>
    <col min="15869" max="15869" width="11.42578125" style="11" customWidth="1"/>
    <col min="15870" max="15870" width="8.42578125" style="11" customWidth="1"/>
    <col min="15871" max="15871" width="2" style="11" customWidth="1"/>
    <col min="15872" max="15877" width="2.42578125" style="11" customWidth="1"/>
    <col min="15878" max="16119" width="8.85546875" style="11"/>
    <col min="16120" max="16120" width="14.42578125" style="11" customWidth="1"/>
    <col min="16121" max="16122" width="12.7109375" style="11" customWidth="1"/>
    <col min="16123" max="16123" width="17.28515625" style="11" customWidth="1"/>
    <col min="16124" max="16124" width="10.42578125" style="11" customWidth="1"/>
    <col min="16125" max="16125" width="11.42578125" style="11" customWidth="1"/>
    <col min="16126" max="16126" width="8.42578125" style="11" customWidth="1"/>
    <col min="16127" max="16127" width="2" style="11" customWidth="1"/>
    <col min="16128" max="16133" width="2.42578125" style="11" customWidth="1"/>
    <col min="16134" max="16384" width="8.85546875" style="11"/>
  </cols>
  <sheetData>
    <row r="1" spans="1:4" ht="30" customHeight="1" thickBot="1">
      <c r="A1" s="234" t="s">
        <v>61</v>
      </c>
      <c r="B1" s="203" t="s">
        <v>62</v>
      </c>
      <c r="C1" s="204" t="s">
        <v>63</v>
      </c>
    </row>
    <row r="2" spans="1:4" ht="18.95" customHeight="1" thickBot="1">
      <c r="A2" s="730" t="s">
        <v>313</v>
      </c>
      <c r="B2" s="731"/>
      <c r="C2" s="732"/>
    </row>
    <row r="3" spans="1:4" ht="15" customHeight="1" thickBot="1">
      <c r="A3" s="205" t="s">
        <v>21</v>
      </c>
      <c r="B3" s="128">
        <v>4</v>
      </c>
      <c r="C3" s="177">
        <f>1.04*12.6359</f>
        <v>13.141335999999999</v>
      </c>
      <c r="D3" s="206"/>
    </row>
    <row r="4" spans="1:4" ht="15" hidden="1" customHeight="1">
      <c r="A4" s="207" t="s">
        <v>21</v>
      </c>
      <c r="B4" s="176">
        <v>5</v>
      </c>
      <c r="C4" s="178">
        <v>18.36</v>
      </c>
      <c r="D4" s="206"/>
    </row>
    <row r="5" spans="1:4" ht="15" hidden="1" customHeight="1">
      <c r="A5" s="207" t="s">
        <v>21</v>
      </c>
      <c r="B5" s="176">
        <v>6</v>
      </c>
      <c r="C5" s="178">
        <v>21.599999999999998</v>
      </c>
      <c r="D5" s="206"/>
    </row>
    <row r="6" spans="1:4" ht="15" hidden="1" customHeight="1">
      <c r="A6" s="207" t="s">
        <v>21</v>
      </c>
      <c r="B6" s="176">
        <v>8</v>
      </c>
      <c r="C6" s="178">
        <v>32.4</v>
      </c>
      <c r="D6" s="206"/>
    </row>
    <row r="7" spans="1:4" ht="15" hidden="1" customHeight="1" thickBot="1">
      <c r="A7" s="208" t="s">
        <v>21</v>
      </c>
      <c r="B7" s="12">
        <v>10</v>
      </c>
      <c r="C7" s="182">
        <v>42.12</v>
      </c>
      <c r="D7" s="206"/>
    </row>
    <row r="8" spans="1:4" ht="15" customHeight="1" thickBot="1">
      <c r="A8" s="205" t="s">
        <v>22</v>
      </c>
      <c r="B8" s="128">
        <v>4</v>
      </c>
      <c r="C8" s="177">
        <f>1.04*39.2304</f>
        <v>40.799616000000007</v>
      </c>
      <c r="D8" s="206"/>
    </row>
    <row r="9" spans="1:4" ht="15" hidden="1" customHeight="1">
      <c r="A9" s="207" t="s">
        <v>22</v>
      </c>
      <c r="B9" s="176">
        <v>6</v>
      </c>
      <c r="C9" s="178">
        <v>51.84</v>
      </c>
      <c r="D9" s="206"/>
    </row>
    <row r="10" spans="1:4" ht="15" hidden="1" customHeight="1">
      <c r="A10" s="207" t="s">
        <v>22</v>
      </c>
      <c r="B10" s="176">
        <v>8</v>
      </c>
      <c r="C10" s="178">
        <v>75.599999999999994</v>
      </c>
      <c r="D10" s="206"/>
    </row>
    <row r="11" spans="1:4" ht="15" hidden="1" customHeight="1" thickBot="1">
      <c r="A11" s="209" t="s">
        <v>22</v>
      </c>
      <c r="B11" s="179">
        <v>10</v>
      </c>
      <c r="C11" s="180">
        <v>95.04</v>
      </c>
      <c r="D11" s="206"/>
    </row>
    <row r="12" spans="1:4" ht="15" customHeight="1" thickBot="1">
      <c r="A12" s="205" t="s">
        <v>305</v>
      </c>
      <c r="B12" s="128">
        <v>4</v>
      </c>
      <c r="C12" s="177">
        <f>1.04*27.8328</f>
        <v>28.946111999999999</v>
      </c>
      <c r="D12" s="206"/>
    </row>
    <row r="13" spans="1:4" ht="15" hidden="1" customHeight="1">
      <c r="A13" s="207" t="s">
        <v>305</v>
      </c>
      <c r="B13" s="176">
        <v>6</v>
      </c>
      <c r="C13" s="178">
        <v>34.56</v>
      </c>
      <c r="D13" s="206"/>
    </row>
    <row r="14" spans="1:4" ht="15" hidden="1" customHeight="1">
      <c r="A14" s="207" t="s">
        <v>305</v>
      </c>
      <c r="B14" s="176">
        <v>8</v>
      </c>
      <c r="C14" s="178">
        <v>50.76</v>
      </c>
      <c r="D14" s="206"/>
    </row>
    <row r="15" spans="1:4" ht="15" hidden="1" customHeight="1" thickBot="1">
      <c r="A15" s="209" t="s">
        <v>305</v>
      </c>
      <c r="B15" s="179">
        <v>10</v>
      </c>
      <c r="C15" s="180">
        <v>61.559999999999995</v>
      </c>
      <c r="D15" s="206"/>
    </row>
    <row r="16" spans="1:4" ht="15" customHeight="1" thickBot="1">
      <c r="A16" s="205" t="s">
        <v>306</v>
      </c>
      <c r="B16" s="128">
        <v>4</v>
      </c>
      <c r="C16" s="177">
        <f>1.04*27.8328</f>
        <v>28.946111999999999</v>
      </c>
      <c r="D16" s="206"/>
    </row>
    <row r="17" spans="1:4" ht="15" hidden="1" customHeight="1">
      <c r="A17" s="207" t="s">
        <v>306</v>
      </c>
      <c r="B17" s="176">
        <v>6</v>
      </c>
      <c r="C17" s="178">
        <v>34.56</v>
      </c>
      <c r="D17" s="206"/>
    </row>
    <row r="18" spans="1:4" ht="15" hidden="1" customHeight="1">
      <c r="A18" s="207" t="s">
        <v>306</v>
      </c>
      <c r="B18" s="176">
        <v>8</v>
      </c>
      <c r="C18" s="178">
        <v>50.76</v>
      </c>
      <c r="D18" s="206"/>
    </row>
    <row r="19" spans="1:4" ht="15" hidden="1" customHeight="1" thickBot="1">
      <c r="A19" s="209" t="s">
        <v>306</v>
      </c>
      <c r="B19" s="179">
        <v>10</v>
      </c>
      <c r="C19" s="180">
        <v>61.559999999999995</v>
      </c>
      <c r="D19" s="206"/>
    </row>
    <row r="20" spans="1:4" ht="15" customHeight="1" thickBot="1">
      <c r="A20" s="205" t="s">
        <v>246</v>
      </c>
      <c r="B20" s="128">
        <v>4</v>
      </c>
      <c r="C20" s="177">
        <f>1.04*60.4498</f>
        <v>62.867792000000009</v>
      </c>
      <c r="D20" s="206"/>
    </row>
    <row r="21" spans="1:4" ht="15" hidden="1" customHeight="1">
      <c r="A21" s="207" t="s">
        <v>246</v>
      </c>
      <c r="B21" s="176">
        <v>6</v>
      </c>
      <c r="C21" s="178"/>
      <c r="D21" s="206"/>
    </row>
    <row r="22" spans="1:4" ht="15" hidden="1" customHeight="1">
      <c r="A22" s="207" t="s">
        <v>246</v>
      </c>
      <c r="B22" s="176">
        <v>8</v>
      </c>
      <c r="C22" s="178"/>
      <c r="D22" s="206"/>
    </row>
    <row r="23" spans="1:4" ht="15" hidden="1" customHeight="1" thickBot="1">
      <c r="A23" s="209" t="s">
        <v>246</v>
      </c>
      <c r="B23" s="179">
        <v>10</v>
      </c>
      <c r="C23" s="180"/>
      <c r="D23" s="206"/>
    </row>
    <row r="24" spans="1:4" ht="15" customHeight="1" thickBot="1">
      <c r="A24" s="205" t="s">
        <v>110</v>
      </c>
      <c r="B24" s="210">
        <v>4</v>
      </c>
      <c r="C24" s="177">
        <f>1.04*75.9278</f>
        <v>78.964912000000012</v>
      </c>
      <c r="D24" s="206"/>
    </row>
    <row r="25" spans="1:4" ht="15" hidden="1" customHeight="1">
      <c r="A25" s="207" t="s">
        <v>110</v>
      </c>
      <c r="B25" s="211">
        <v>6</v>
      </c>
      <c r="C25" s="178"/>
      <c r="D25" s="206"/>
    </row>
    <row r="26" spans="1:4" ht="15" hidden="1" customHeight="1">
      <c r="A26" s="207" t="s">
        <v>110</v>
      </c>
      <c r="B26" s="211">
        <v>8</v>
      </c>
      <c r="C26" s="178"/>
      <c r="D26" s="206"/>
    </row>
    <row r="27" spans="1:4" ht="15" hidden="1" customHeight="1" thickBot="1">
      <c r="A27" s="209" t="s">
        <v>110</v>
      </c>
      <c r="B27" s="321">
        <v>10</v>
      </c>
      <c r="C27" s="180"/>
      <c r="D27" s="206"/>
    </row>
    <row r="28" spans="1:4" ht="15" customHeight="1" thickBot="1">
      <c r="A28" s="212" t="s">
        <v>307</v>
      </c>
      <c r="B28" s="186">
        <v>4</v>
      </c>
      <c r="C28" s="177">
        <f>1.04*105.4494</f>
        <v>109.667376</v>
      </c>
      <c r="D28" s="206"/>
    </row>
    <row r="29" spans="1:4" ht="15" hidden="1" customHeight="1">
      <c r="A29" s="213" t="s">
        <v>307</v>
      </c>
      <c r="B29" s="214">
        <v>6</v>
      </c>
      <c r="C29" s="178"/>
      <c r="D29" s="206"/>
    </row>
    <row r="30" spans="1:4" ht="15" hidden="1" customHeight="1">
      <c r="A30" s="213" t="s">
        <v>307</v>
      </c>
      <c r="B30" s="214">
        <v>8</v>
      </c>
      <c r="C30" s="178"/>
      <c r="D30" s="206"/>
    </row>
    <row r="31" spans="1:4" ht="15" hidden="1" customHeight="1" thickBot="1">
      <c r="A31" s="215" t="s">
        <v>307</v>
      </c>
      <c r="B31" s="216">
        <v>10</v>
      </c>
      <c r="C31" s="182"/>
      <c r="D31" s="206"/>
    </row>
    <row r="32" spans="1:4" ht="15" customHeight="1" thickBot="1">
      <c r="A32" s="212" t="s">
        <v>308</v>
      </c>
      <c r="B32" s="186">
        <v>4</v>
      </c>
      <c r="C32" s="177">
        <f>1.04*63.264</f>
        <v>65.794560000000004</v>
      </c>
      <c r="D32" s="206"/>
    </row>
    <row r="33" spans="1:4" ht="15" hidden="1" customHeight="1">
      <c r="A33" s="213" t="s">
        <v>308</v>
      </c>
      <c r="B33" s="214">
        <v>6</v>
      </c>
      <c r="C33" s="178"/>
      <c r="D33" s="206"/>
    </row>
    <row r="34" spans="1:4" ht="15" hidden="1" customHeight="1">
      <c r="A34" s="213" t="s">
        <v>308</v>
      </c>
      <c r="B34" s="214">
        <v>8</v>
      </c>
      <c r="C34" s="178"/>
      <c r="D34" s="206"/>
    </row>
    <row r="35" spans="1:4" ht="15" hidden="1" customHeight="1" thickBot="1">
      <c r="A35" s="217" t="s">
        <v>308</v>
      </c>
      <c r="B35" s="218">
        <v>10</v>
      </c>
      <c r="C35" s="180"/>
      <c r="D35" s="206"/>
    </row>
    <row r="36" spans="1:4" ht="15" customHeight="1" thickBot="1">
      <c r="A36" s="212" t="s">
        <v>309</v>
      </c>
      <c r="B36" s="186">
        <v>4</v>
      </c>
      <c r="C36" s="177">
        <f>1.04*42.1854</f>
        <v>43.872816</v>
      </c>
      <c r="D36" s="206"/>
    </row>
    <row r="37" spans="1:4" ht="15" hidden="1" customHeight="1">
      <c r="A37" s="213" t="s">
        <v>309</v>
      </c>
      <c r="B37" s="214">
        <v>6</v>
      </c>
      <c r="C37" s="178"/>
      <c r="D37" s="206"/>
    </row>
    <row r="38" spans="1:4" ht="15" hidden="1" customHeight="1">
      <c r="A38" s="213" t="s">
        <v>309</v>
      </c>
      <c r="B38" s="214">
        <v>8</v>
      </c>
      <c r="C38" s="178"/>
      <c r="D38" s="206"/>
    </row>
    <row r="39" spans="1:4" ht="15" hidden="1" customHeight="1" thickBot="1">
      <c r="A39" s="217" t="s">
        <v>309</v>
      </c>
      <c r="B39" s="218">
        <v>10</v>
      </c>
      <c r="C39" s="180"/>
      <c r="D39" s="206"/>
    </row>
    <row r="40" spans="1:4" ht="15" customHeight="1" thickBot="1">
      <c r="A40" s="212" t="s">
        <v>310</v>
      </c>
      <c r="B40" s="186">
        <v>4</v>
      </c>
      <c r="C40" s="177">
        <f>1.04*77.3352</f>
        <v>80.428607999999997</v>
      </c>
      <c r="D40" s="206"/>
    </row>
    <row r="41" spans="1:4" ht="15" hidden="1" customHeight="1">
      <c r="A41" s="213" t="s">
        <v>310</v>
      </c>
      <c r="B41" s="214">
        <v>6</v>
      </c>
      <c r="C41" s="178"/>
      <c r="D41" s="206"/>
    </row>
    <row r="42" spans="1:4" ht="15" hidden="1" customHeight="1">
      <c r="A42" s="213" t="s">
        <v>310</v>
      </c>
      <c r="B42" s="214">
        <v>8</v>
      </c>
      <c r="C42" s="178"/>
      <c r="D42" s="206"/>
    </row>
    <row r="43" spans="1:4" ht="15" hidden="1" customHeight="1" thickBot="1">
      <c r="A43" s="217" t="s">
        <v>310</v>
      </c>
      <c r="B43" s="218">
        <v>10</v>
      </c>
      <c r="C43" s="180"/>
      <c r="D43" s="206"/>
    </row>
    <row r="44" spans="1:4" ht="15" customHeight="1" thickBot="1">
      <c r="A44" s="212" t="s">
        <v>311</v>
      </c>
      <c r="B44" s="184">
        <v>4</v>
      </c>
      <c r="C44" s="185">
        <f>1.04*91.4063</f>
        <v>95.062552000000011</v>
      </c>
      <c r="D44" s="206"/>
    </row>
    <row r="45" spans="1:4" ht="15" hidden="1" customHeight="1">
      <c r="A45" s="219" t="s">
        <v>311</v>
      </c>
      <c r="B45" s="220">
        <v>6</v>
      </c>
      <c r="C45" s="187"/>
      <c r="D45" s="206"/>
    </row>
    <row r="46" spans="1:4" ht="15" hidden="1" customHeight="1">
      <c r="A46" s="219" t="s">
        <v>311</v>
      </c>
      <c r="B46" s="220">
        <v>8</v>
      </c>
      <c r="C46" s="187"/>
      <c r="D46" s="206"/>
    </row>
    <row r="47" spans="1:4" ht="15" hidden="1" customHeight="1" thickBot="1">
      <c r="A47" s="221" t="s">
        <v>311</v>
      </c>
      <c r="B47" s="222">
        <v>10</v>
      </c>
      <c r="C47" s="188"/>
      <c r="D47" s="206"/>
    </row>
    <row r="48" spans="1:4" ht="15" customHeight="1" thickBot="1">
      <c r="A48" s="212" t="s">
        <v>312</v>
      </c>
      <c r="B48" s="184">
        <v>4</v>
      </c>
      <c r="C48" s="185">
        <f>1.04*105.4494</f>
        <v>109.667376</v>
      </c>
      <c r="D48" s="206"/>
    </row>
    <row r="49" spans="1:4" ht="15" hidden="1" customHeight="1">
      <c r="A49" s="219" t="s">
        <v>312</v>
      </c>
      <c r="B49" s="220">
        <v>6</v>
      </c>
      <c r="C49" s="187"/>
      <c r="D49" s="206"/>
    </row>
    <row r="50" spans="1:4" ht="15" hidden="1" customHeight="1">
      <c r="A50" s="219" t="s">
        <v>312</v>
      </c>
      <c r="B50" s="220">
        <v>8</v>
      </c>
      <c r="C50" s="187"/>
      <c r="D50" s="206"/>
    </row>
    <row r="51" spans="1:4" ht="15" hidden="1" customHeight="1" thickBot="1">
      <c r="A51" s="221" t="s">
        <v>312</v>
      </c>
      <c r="B51" s="222">
        <v>10</v>
      </c>
      <c r="C51" s="188"/>
      <c r="D51" s="206"/>
    </row>
    <row r="52" spans="1:4" ht="15" customHeight="1" thickBot="1">
      <c r="A52" s="727" t="s">
        <v>64</v>
      </c>
      <c r="B52" s="728"/>
      <c r="C52" s="729"/>
      <c r="D52" s="206"/>
    </row>
    <row r="53" spans="1:4" ht="15" customHeight="1" thickBot="1">
      <c r="A53" s="212" t="s">
        <v>314</v>
      </c>
      <c r="B53" s="128">
        <v>4</v>
      </c>
      <c r="C53" s="177">
        <f>1.04*110.3843</f>
        <v>114.799672</v>
      </c>
      <c r="D53" s="206"/>
    </row>
    <row r="54" spans="1:4" ht="15" hidden="1" customHeight="1">
      <c r="A54" s="213" t="s">
        <v>314</v>
      </c>
      <c r="B54" s="176">
        <v>6</v>
      </c>
      <c r="C54" s="177">
        <f t="shared" ref="C54:C60" si="0">86.4+7.23</f>
        <v>93.63000000000001</v>
      </c>
      <c r="D54" s="206"/>
    </row>
    <row r="55" spans="1:4" ht="15" hidden="1" thickBot="1">
      <c r="A55" s="213" t="s">
        <v>314</v>
      </c>
      <c r="B55" s="176">
        <v>8</v>
      </c>
      <c r="C55" s="177">
        <f t="shared" si="0"/>
        <v>93.63000000000001</v>
      </c>
    </row>
    <row r="56" spans="1:4" ht="15" hidden="1" customHeight="1" thickBot="1">
      <c r="A56" s="217" t="s">
        <v>314</v>
      </c>
      <c r="B56" s="224">
        <v>10</v>
      </c>
      <c r="C56" s="177">
        <f t="shared" si="0"/>
        <v>93.63000000000001</v>
      </c>
      <c r="D56" s="206"/>
    </row>
    <row r="57" spans="1:4" ht="15" customHeight="1" thickBot="1">
      <c r="A57" s="212" t="s">
        <v>315</v>
      </c>
      <c r="B57" s="128">
        <v>4</v>
      </c>
      <c r="C57" s="177">
        <f>1.04*110.3843</f>
        <v>114.799672</v>
      </c>
      <c r="D57" s="206"/>
    </row>
    <row r="58" spans="1:4" ht="15" hidden="1" customHeight="1">
      <c r="A58" s="213" t="s">
        <v>315</v>
      </c>
      <c r="B58" s="176">
        <v>6</v>
      </c>
      <c r="C58" s="177">
        <f t="shared" si="0"/>
        <v>93.63000000000001</v>
      </c>
      <c r="D58" s="206"/>
    </row>
    <row r="59" spans="1:4" ht="15" hidden="1" customHeight="1">
      <c r="A59" s="213" t="s">
        <v>315</v>
      </c>
      <c r="B59" s="176">
        <v>8</v>
      </c>
      <c r="C59" s="177">
        <f t="shared" si="0"/>
        <v>93.63000000000001</v>
      </c>
      <c r="D59" s="206"/>
    </row>
    <row r="60" spans="1:4" ht="15" hidden="1" customHeight="1" thickBot="1">
      <c r="A60" s="217" t="s">
        <v>315</v>
      </c>
      <c r="B60" s="224">
        <v>10</v>
      </c>
      <c r="C60" s="177">
        <f t="shared" si="0"/>
        <v>93.63000000000001</v>
      </c>
      <c r="D60" s="206"/>
    </row>
    <row r="61" spans="1:4" ht="15" customHeight="1" thickBot="1">
      <c r="A61" s="212" t="s">
        <v>316</v>
      </c>
      <c r="B61" s="128">
        <v>4</v>
      </c>
      <c r="C61" s="177">
        <f>1.04*110.3843</f>
        <v>114.799672</v>
      </c>
      <c r="D61" s="206"/>
    </row>
    <row r="62" spans="1:4" ht="15" hidden="1" customHeight="1">
      <c r="A62" s="213" t="s">
        <v>316</v>
      </c>
      <c r="B62" s="176">
        <v>6</v>
      </c>
      <c r="C62" s="178"/>
      <c r="D62" s="206"/>
    </row>
    <row r="63" spans="1:4" ht="15" hidden="1" customHeight="1">
      <c r="A63" s="213" t="s">
        <v>316</v>
      </c>
      <c r="B63" s="176">
        <v>8</v>
      </c>
      <c r="C63" s="223"/>
      <c r="D63" s="206"/>
    </row>
    <row r="64" spans="1:4" ht="15" hidden="1" customHeight="1" thickBot="1">
      <c r="A64" s="217" t="s">
        <v>316</v>
      </c>
      <c r="B64" s="224">
        <v>10</v>
      </c>
      <c r="C64" s="180"/>
      <c r="D64" s="206"/>
    </row>
    <row r="65" spans="1:4" ht="15" customHeight="1" thickBot="1">
      <c r="A65" s="212" t="s">
        <v>317</v>
      </c>
      <c r="B65" s="128">
        <v>4</v>
      </c>
      <c r="C65" s="177">
        <f>1.04*63.264</f>
        <v>65.794560000000004</v>
      </c>
      <c r="D65" s="206"/>
    </row>
    <row r="66" spans="1:4" ht="15" hidden="1" customHeight="1">
      <c r="A66" s="213" t="s">
        <v>317</v>
      </c>
      <c r="B66" s="176">
        <v>6</v>
      </c>
      <c r="C66" s="177">
        <f t="shared" ref="C66:C72" si="1">54+7.23</f>
        <v>61.230000000000004</v>
      </c>
      <c r="D66" s="206"/>
    </row>
    <row r="67" spans="1:4" ht="15" hidden="1" customHeight="1">
      <c r="A67" s="213" t="s">
        <v>317</v>
      </c>
      <c r="B67" s="176">
        <v>8</v>
      </c>
      <c r="C67" s="177">
        <f t="shared" si="1"/>
        <v>61.230000000000004</v>
      </c>
      <c r="D67" s="206"/>
    </row>
    <row r="68" spans="1:4" ht="15" hidden="1" customHeight="1" thickBot="1">
      <c r="A68" s="217" t="s">
        <v>317</v>
      </c>
      <c r="B68" s="224">
        <v>10</v>
      </c>
      <c r="C68" s="177">
        <f t="shared" si="1"/>
        <v>61.230000000000004</v>
      </c>
      <c r="D68" s="206"/>
    </row>
    <row r="69" spans="1:4" ht="15" customHeight="1" thickBot="1">
      <c r="A69" s="212" t="s">
        <v>318</v>
      </c>
      <c r="B69" s="128">
        <v>4</v>
      </c>
      <c r="C69" s="177">
        <f>1.04*63.264</f>
        <v>65.794560000000004</v>
      </c>
      <c r="D69" s="206"/>
    </row>
    <row r="70" spans="1:4" ht="15" hidden="1" customHeight="1">
      <c r="A70" s="213" t="s">
        <v>318</v>
      </c>
      <c r="B70" s="176">
        <v>6</v>
      </c>
      <c r="C70" s="177">
        <f t="shared" si="1"/>
        <v>61.230000000000004</v>
      </c>
      <c r="D70" s="206"/>
    </row>
    <row r="71" spans="1:4" ht="15" hidden="1" customHeight="1">
      <c r="A71" s="213" t="s">
        <v>318</v>
      </c>
      <c r="B71" s="176">
        <v>8</v>
      </c>
      <c r="C71" s="177">
        <f t="shared" si="1"/>
        <v>61.230000000000004</v>
      </c>
      <c r="D71" s="206"/>
    </row>
    <row r="72" spans="1:4" ht="15" hidden="1" customHeight="1" thickBot="1">
      <c r="A72" s="217" t="s">
        <v>318</v>
      </c>
      <c r="B72" s="224">
        <v>10</v>
      </c>
      <c r="C72" s="177">
        <f t="shared" si="1"/>
        <v>61.230000000000004</v>
      </c>
      <c r="D72" s="206"/>
    </row>
    <row r="73" spans="1:4" ht="15" customHeight="1" thickBot="1">
      <c r="A73" s="212" t="s">
        <v>319</v>
      </c>
      <c r="B73" s="128">
        <v>4</v>
      </c>
      <c r="C73" s="177">
        <f>1.04*63.264</f>
        <v>65.794560000000004</v>
      </c>
      <c r="D73" s="206"/>
    </row>
    <row r="74" spans="1:4" ht="15" hidden="1" customHeight="1">
      <c r="A74" s="213" t="s">
        <v>319</v>
      </c>
      <c r="B74" s="176">
        <v>6</v>
      </c>
      <c r="C74" s="178"/>
      <c r="D74" s="206"/>
    </row>
    <row r="75" spans="1:4" ht="15" hidden="1" customHeight="1">
      <c r="A75" s="213" t="s">
        <v>319</v>
      </c>
      <c r="B75" s="176">
        <v>8</v>
      </c>
      <c r="C75" s="223"/>
      <c r="D75" s="206"/>
    </row>
    <row r="76" spans="1:4" ht="15" hidden="1" customHeight="1" thickBot="1">
      <c r="A76" s="217" t="s">
        <v>319</v>
      </c>
      <c r="B76" s="224">
        <v>10</v>
      </c>
      <c r="C76" s="180"/>
      <c r="D76" s="206"/>
    </row>
    <row r="77" spans="1:4" ht="15" customHeight="1" thickBot="1">
      <c r="A77" s="733" t="s">
        <v>320</v>
      </c>
      <c r="B77" s="734"/>
      <c r="C77" s="735"/>
      <c r="D77" s="206"/>
    </row>
    <row r="78" spans="1:4" ht="14.45" customHeight="1" thickBot="1">
      <c r="A78" s="212" t="s">
        <v>321</v>
      </c>
      <c r="B78" s="186">
        <v>4</v>
      </c>
      <c r="C78" s="175">
        <f>1.04*41.7632</f>
        <v>43.433728000000002</v>
      </c>
      <c r="D78" s="206"/>
    </row>
    <row r="79" spans="1:4" ht="14.45" hidden="1" customHeight="1">
      <c r="A79" s="213" t="s">
        <v>321</v>
      </c>
      <c r="B79" s="214">
        <v>6</v>
      </c>
      <c r="C79" s="178"/>
      <c r="D79" s="206"/>
    </row>
    <row r="80" spans="1:4" ht="14.45" hidden="1" customHeight="1">
      <c r="A80" s="213" t="s">
        <v>321</v>
      </c>
      <c r="B80" s="214">
        <v>8</v>
      </c>
      <c r="C80" s="178"/>
      <c r="D80" s="206"/>
    </row>
    <row r="81" spans="1:4" ht="14.45" hidden="1" customHeight="1" thickBot="1">
      <c r="A81" s="217" t="s">
        <v>321</v>
      </c>
      <c r="B81" s="218">
        <v>10</v>
      </c>
      <c r="C81" s="180"/>
      <c r="D81" s="206"/>
    </row>
    <row r="82" spans="1:4" ht="14.45" customHeight="1" thickBot="1">
      <c r="A82" s="212" t="s">
        <v>322</v>
      </c>
      <c r="B82" s="186">
        <v>4</v>
      </c>
      <c r="C82" s="175">
        <f>1.04*22.7672</f>
        <v>23.677887999999999</v>
      </c>
      <c r="D82" s="206"/>
    </row>
    <row r="83" spans="1:4" ht="14.45" hidden="1" customHeight="1">
      <c r="A83" s="213" t="s">
        <v>322</v>
      </c>
      <c r="B83" s="214">
        <v>6</v>
      </c>
      <c r="C83" s="178"/>
      <c r="D83" s="206"/>
    </row>
    <row r="84" spans="1:4" ht="14.45" hidden="1" customHeight="1">
      <c r="A84" s="213" t="s">
        <v>322</v>
      </c>
      <c r="B84" s="214">
        <v>8</v>
      </c>
      <c r="C84" s="178"/>
      <c r="D84" s="206"/>
    </row>
    <row r="85" spans="1:4" ht="14.45" hidden="1" customHeight="1" thickBot="1">
      <c r="A85" s="217" t="s">
        <v>322</v>
      </c>
      <c r="B85" s="218">
        <v>10</v>
      </c>
      <c r="C85" s="180"/>
      <c r="D85" s="206"/>
    </row>
    <row r="86" spans="1:4" ht="14.45" customHeight="1" thickBot="1">
      <c r="A86" s="212" t="s">
        <v>323</v>
      </c>
      <c r="B86" s="186">
        <v>4</v>
      </c>
      <c r="C86" s="175">
        <f>1.04*39.3711</f>
        <v>40.945943999999997</v>
      </c>
      <c r="D86" s="206"/>
    </row>
    <row r="87" spans="1:4" ht="14.45" hidden="1" customHeight="1">
      <c r="A87" s="213" t="s">
        <v>323</v>
      </c>
      <c r="B87" s="214">
        <v>6</v>
      </c>
      <c r="C87" s="178"/>
      <c r="D87" s="206"/>
    </row>
    <row r="88" spans="1:4" ht="14.45" hidden="1" customHeight="1">
      <c r="A88" s="213" t="s">
        <v>323</v>
      </c>
      <c r="B88" s="214">
        <v>8</v>
      </c>
      <c r="C88" s="178"/>
      <c r="D88" s="206"/>
    </row>
    <row r="89" spans="1:4" ht="14.45" hidden="1" customHeight="1" thickBot="1">
      <c r="A89" s="217" t="s">
        <v>323</v>
      </c>
      <c r="B89" s="218">
        <v>10</v>
      </c>
      <c r="C89" s="180"/>
      <c r="D89" s="206"/>
    </row>
    <row r="90" spans="1:4" ht="14.45" customHeight="1" thickBot="1">
      <c r="A90" s="212" t="s">
        <v>324</v>
      </c>
      <c r="B90" s="186">
        <v>4</v>
      </c>
      <c r="C90" s="175">
        <f>1.04*41.7632</f>
        <v>43.433728000000002</v>
      </c>
      <c r="D90" s="206"/>
    </row>
    <row r="91" spans="1:4" ht="14.45" hidden="1" customHeight="1">
      <c r="A91" s="213" t="s">
        <v>324</v>
      </c>
      <c r="B91" s="214">
        <v>6</v>
      </c>
      <c r="C91" s="178"/>
      <c r="D91" s="206"/>
    </row>
    <row r="92" spans="1:4" ht="14.45" hidden="1" customHeight="1">
      <c r="A92" s="213" t="s">
        <v>324</v>
      </c>
      <c r="B92" s="214">
        <v>8</v>
      </c>
      <c r="C92" s="178"/>
      <c r="D92" s="206"/>
    </row>
    <row r="93" spans="1:4" ht="14.45" hidden="1" customHeight="1" thickBot="1">
      <c r="A93" s="217" t="s">
        <v>324</v>
      </c>
      <c r="B93" s="218">
        <v>10</v>
      </c>
      <c r="C93" s="180"/>
      <c r="D93" s="206"/>
    </row>
    <row r="94" spans="1:4" ht="14.45" customHeight="1" thickBot="1">
      <c r="A94" s="212" t="s">
        <v>325</v>
      </c>
      <c r="B94" s="186">
        <v>4</v>
      </c>
      <c r="C94" s="175">
        <f>1.04*58.1984</f>
        <v>60.526336000000001</v>
      </c>
      <c r="D94" s="206"/>
    </row>
    <row r="95" spans="1:4" ht="14.45" hidden="1" customHeight="1">
      <c r="A95" s="213" t="s">
        <v>325</v>
      </c>
      <c r="B95" s="214">
        <v>6</v>
      </c>
      <c r="C95" s="178"/>
      <c r="D95" s="206"/>
    </row>
    <row r="96" spans="1:4" ht="14.45" hidden="1" customHeight="1">
      <c r="A96" s="213" t="s">
        <v>325</v>
      </c>
      <c r="B96" s="214">
        <v>8</v>
      </c>
      <c r="C96" s="178"/>
      <c r="D96" s="206"/>
    </row>
    <row r="97" spans="1:4" ht="14.45" hidden="1" customHeight="1" thickBot="1">
      <c r="A97" s="217" t="s">
        <v>325</v>
      </c>
      <c r="B97" s="218">
        <v>10</v>
      </c>
      <c r="C97" s="180"/>
      <c r="D97" s="206"/>
    </row>
    <row r="98" spans="1:4" ht="14.45" customHeight="1" thickBot="1">
      <c r="A98" s="212" t="s">
        <v>326</v>
      </c>
      <c r="B98" s="186">
        <v>4</v>
      </c>
      <c r="C98" s="175">
        <f>1.04*58.1984</f>
        <v>60.526336000000001</v>
      </c>
    </row>
    <row r="99" spans="1:4" ht="14.45" hidden="1" customHeight="1">
      <c r="A99" s="213" t="s">
        <v>326</v>
      </c>
      <c r="B99" s="214">
        <v>6</v>
      </c>
      <c r="C99" s="178"/>
    </row>
    <row r="100" spans="1:4" ht="14.45" hidden="1" customHeight="1">
      <c r="A100" s="213" t="s">
        <v>326</v>
      </c>
      <c r="B100" s="214">
        <v>8</v>
      </c>
      <c r="C100" s="178"/>
    </row>
    <row r="101" spans="1:4" ht="14.45" hidden="1" customHeight="1" thickBot="1">
      <c r="A101" s="217" t="s">
        <v>326</v>
      </c>
      <c r="B101" s="218">
        <v>10</v>
      </c>
      <c r="C101" s="180"/>
    </row>
    <row r="102" spans="1:4" ht="14.45" customHeight="1" thickBot="1">
      <c r="A102" s="212" t="s">
        <v>327</v>
      </c>
      <c r="B102" s="184">
        <v>4</v>
      </c>
      <c r="C102" s="191">
        <f>1.04*58.1984</f>
        <v>60.526336000000001</v>
      </c>
    </row>
    <row r="103" spans="1:4" ht="14.45" hidden="1" customHeight="1">
      <c r="A103" s="219" t="s">
        <v>327</v>
      </c>
      <c r="B103" s="220">
        <v>6</v>
      </c>
      <c r="C103" s="192"/>
    </row>
    <row r="104" spans="1:4" ht="14.45" hidden="1" customHeight="1">
      <c r="A104" s="219" t="s">
        <v>327</v>
      </c>
      <c r="B104" s="220">
        <v>8</v>
      </c>
      <c r="C104" s="187"/>
    </row>
    <row r="105" spans="1:4" ht="14.45" hidden="1" customHeight="1" thickBot="1">
      <c r="A105" s="221" t="s">
        <v>327</v>
      </c>
      <c r="B105" s="222">
        <v>10</v>
      </c>
      <c r="C105" s="188"/>
    </row>
    <row r="106" spans="1:4" ht="15" thickBot="1">
      <c r="A106" s="225" t="s">
        <v>328</v>
      </c>
      <c r="B106" s="189">
        <v>4</v>
      </c>
      <c r="C106" s="183">
        <f>1.04*50.63</f>
        <v>52.655200000000008</v>
      </c>
    </row>
    <row r="107" spans="1:4" ht="15.75" thickBot="1">
      <c r="A107" s="733" t="s">
        <v>329</v>
      </c>
      <c r="B107" s="734"/>
      <c r="C107" s="735"/>
    </row>
    <row r="108" spans="1:4" ht="15" thickBot="1">
      <c r="A108" s="212" t="s">
        <v>330</v>
      </c>
      <c r="B108" s="184">
        <v>4</v>
      </c>
      <c r="C108" s="185">
        <f>1.04*40.4687</f>
        <v>42.087448000000002</v>
      </c>
    </row>
    <row r="109" spans="1:4" ht="14.25" hidden="1">
      <c r="A109" s="219" t="s">
        <v>330</v>
      </c>
      <c r="B109" s="220">
        <v>6</v>
      </c>
      <c r="C109" s="187"/>
    </row>
    <row r="110" spans="1:4" ht="14.25" hidden="1">
      <c r="A110" s="219" t="s">
        <v>330</v>
      </c>
      <c r="B110" s="220">
        <v>8</v>
      </c>
      <c r="C110" s="187"/>
    </row>
    <row r="111" spans="1:4" ht="15" hidden="1" thickBot="1">
      <c r="A111" s="221" t="s">
        <v>330</v>
      </c>
      <c r="B111" s="222">
        <v>10</v>
      </c>
      <c r="C111" s="188"/>
    </row>
    <row r="112" spans="1:4" ht="15" thickBot="1">
      <c r="A112" s="212" t="s">
        <v>331</v>
      </c>
      <c r="B112" s="184">
        <v>4</v>
      </c>
      <c r="C112" s="185">
        <f>1.04*35.4312</f>
        <v>36.848447999999998</v>
      </c>
    </row>
    <row r="113" spans="1:3" ht="14.25" hidden="1">
      <c r="A113" s="219" t="s">
        <v>331</v>
      </c>
      <c r="B113" s="220">
        <v>6</v>
      </c>
      <c r="C113" s="187"/>
    </row>
    <row r="114" spans="1:3" ht="14.25" hidden="1">
      <c r="A114" s="219" t="s">
        <v>331</v>
      </c>
      <c r="B114" s="220">
        <v>8</v>
      </c>
      <c r="C114" s="187"/>
    </row>
    <row r="115" spans="1:3" ht="15" hidden="1" thickBot="1">
      <c r="A115" s="221" t="s">
        <v>331</v>
      </c>
      <c r="B115" s="222">
        <v>10</v>
      </c>
      <c r="C115" s="188"/>
    </row>
    <row r="116" spans="1:3" ht="15" thickBot="1">
      <c r="A116" s="212" t="s">
        <v>332</v>
      </c>
      <c r="B116" s="184">
        <v>4</v>
      </c>
      <c r="C116" s="185">
        <f>1.04*35.4312</f>
        <v>36.848447999999998</v>
      </c>
    </row>
    <row r="117" spans="1:3" ht="14.25" hidden="1">
      <c r="A117" s="219" t="s">
        <v>332</v>
      </c>
      <c r="B117" s="220">
        <v>6</v>
      </c>
      <c r="C117" s="187"/>
    </row>
    <row r="118" spans="1:3" ht="14.25" hidden="1">
      <c r="A118" s="219" t="s">
        <v>332</v>
      </c>
      <c r="B118" s="220">
        <v>8</v>
      </c>
      <c r="C118" s="187"/>
    </row>
    <row r="119" spans="1:3" ht="15" hidden="1" thickBot="1">
      <c r="A119" s="221" t="s">
        <v>332</v>
      </c>
      <c r="B119" s="222">
        <v>10</v>
      </c>
      <c r="C119" s="188"/>
    </row>
    <row r="120" spans="1:3" ht="15" thickBot="1">
      <c r="A120" s="212" t="s">
        <v>333</v>
      </c>
      <c r="B120" s="184">
        <v>4</v>
      </c>
      <c r="C120" s="185">
        <f>1.04*35.4312</f>
        <v>36.848447999999998</v>
      </c>
    </row>
    <row r="121" spans="1:3" ht="14.25" hidden="1">
      <c r="A121" s="219" t="s">
        <v>333</v>
      </c>
      <c r="B121" s="220">
        <v>6</v>
      </c>
      <c r="C121" s="187"/>
    </row>
    <row r="122" spans="1:3" ht="14.25" hidden="1">
      <c r="A122" s="219" t="s">
        <v>333</v>
      </c>
      <c r="B122" s="220">
        <v>8</v>
      </c>
      <c r="C122" s="187"/>
    </row>
    <row r="123" spans="1:3" ht="15" hidden="1" thickBot="1">
      <c r="A123" s="221" t="s">
        <v>333</v>
      </c>
      <c r="B123" s="222">
        <v>10</v>
      </c>
      <c r="C123" s="188"/>
    </row>
    <row r="124" spans="1:3" ht="15" thickBot="1">
      <c r="A124" s="212" t="s">
        <v>334</v>
      </c>
      <c r="B124" s="184">
        <v>4</v>
      </c>
      <c r="C124" s="185">
        <f>1.04*40.4687</f>
        <v>42.087448000000002</v>
      </c>
    </row>
    <row r="125" spans="1:3" ht="14.25" hidden="1">
      <c r="A125" s="219" t="s">
        <v>334</v>
      </c>
      <c r="B125" s="220">
        <v>6</v>
      </c>
      <c r="C125" s="187"/>
    </row>
    <row r="126" spans="1:3" ht="14.25" hidden="1">
      <c r="A126" s="219" t="s">
        <v>334</v>
      </c>
      <c r="B126" s="220">
        <v>8</v>
      </c>
      <c r="C126" s="187"/>
    </row>
    <row r="127" spans="1:3" ht="15" hidden="1" thickBot="1">
      <c r="A127" s="221" t="s">
        <v>334</v>
      </c>
      <c r="B127" s="222">
        <v>10</v>
      </c>
      <c r="C127" s="188"/>
    </row>
    <row r="128" spans="1:3" ht="15" thickBot="1">
      <c r="A128" s="212" t="s">
        <v>335</v>
      </c>
      <c r="B128" s="184">
        <v>4</v>
      </c>
      <c r="C128" s="185">
        <f>1.04*35.4312</f>
        <v>36.848447999999998</v>
      </c>
    </row>
    <row r="129" spans="1:3" ht="14.25" hidden="1">
      <c r="A129" s="219" t="s">
        <v>335</v>
      </c>
      <c r="B129" s="220">
        <v>6</v>
      </c>
      <c r="C129" s="187"/>
    </row>
    <row r="130" spans="1:3" ht="14.25" hidden="1">
      <c r="A130" s="219" t="s">
        <v>335</v>
      </c>
      <c r="B130" s="220">
        <v>8</v>
      </c>
      <c r="C130" s="187"/>
    </row>
    <row r="131" spans="1:3" ht="15" hidden="1" thickBot="1">
      <c r="A131" s="221" t="s">
        <v>335</v>
      </c>
      <c r="B131" s="222">
        <v>10</v>
      </c>
      <c r="C131" s="188"/>
    </row>
    <row r="132" spans="1:3" ht="15" thickBot="1">
      <c r="A132" s="212" t="s">
        <v>336</v>
      </c>
      <c r="B132" s="184">
        <v>4</v>
      </c>
      <c r="C132" s="185">
        <f>1.04*40.4687</f>
        <v>42.087448000000002</v>
      </c>
    </row>
    <row r="133" spans="1:3" ht="14.25" hidden="1">
      <c r="A133" s="219" t="s">
        <v>336</v>
      </c>
      <c r="B133" s="220">
        <v>6</v>
      </c>
      <c r="C133" s="187"/>
    </row>
    <row r="134" spans="1:3" ht="14.25" hidden="1">
      <c r="A134" s="219" t="s">
        <v>336</v>
      </c>
      <c r="B134" s="220">
        <v>8</v>
      </c>
      <c r="C134" s="187"/>
    </row>
    <row r="135" spans="1:3" ht="15" hidden="1" thickBot="1">
      <c r="A135" s="221" t="s">
        <v>336</v>
      </c>
      <c r="B135" s="222">
        <v>10</v>
      </c>
      <c r="C135" s="188"/>
    </row>
    <row r="136" spans="1:3" ht="15.75" thickBot="1">
      <c r="A136" s="738" t="s">
        <v>337</v>
      </c>
      <c r="B136" s="739"/>
      <c r="C136" s="740"/>
    </row>
    <row r="137" spans="1:3" ht="12.95" customHeight="1" thickBot="1">
      <c r="A137" s="205" t="s">
        <v>338</v>
      </c>
      <c r="B137" s="128">
        <v>4</v>
      </c>
      <c r="C137" s="177">
        <f>1.04*26.5664</f>
        <v>27.629056000000002</v>
      </c>
    </row>
    <row r="138" spans="1:3" ht="12.95" hidden="1" customHeight="1">
      <c r="A138" s="207" t="s">
        <v>338</v>
      </c>
      <c r="B138" s="176">
        <v>6</v>
      </c>
      <c r="C138" s="178">
        <v>33.479999999999997</v>
      </c>
    </row>
    <row r="139" spans="1:3" ht="12.95" hidden="1" customHeight="1">
      <c r="A139" s="207" t="s">
        <v>338</v>
      </c>
      <c r="B139" s="176">
        <v>8</v>
      </c>
      <c r="C139" s="178">
        <v>45.359999999999992</v>
      </c>
    </row>
    <row r="140" spans="1:3" ht="12.95" hidden="1" customHeight="1" thickBot="1">
      <c r="A140" s="208" t="s">
        <v>338</v>
      </c>
      <c r="B140" s="12">
        <v>10</v>
      </c>
      <c r="C140" s="182">
        <v>58.32</v>
      </c>
    </row>
    <row r="141" spans="1:3" ht="12.95" customHeight="1" thickBot="1">
      <c r="A141" s="205" t="s">
        <v>339</v>
      </c>
      <c r="B141" s="128">
        <v>4</v>
      </c>
      <c r="C141" s="177">
        <f>1.04*43.0296</f>
        <v>44.750784000000003</v>
      </c>
    </row>
    <row r="142" spans="1:3" ht="12.95" hidden="1" customHeight="1">
      <c r="A142" s="207" t="s">
        <v>339</v>
      </c>
      <c r="B142" s="176">
        <v>6</v>
      </c>
      <c r="C142" s="178">
        <v>58.32</v>
      </c>
    </row>
    <row r="143" spans="1:3" ht="12.95" hidden="1" customHeight="1">
      <c r="A143" s="207" t="s">
        <v>339</v>
      </c>
      <c r="B143" s="176">
        <v>8</v>
      </c>
      <c r="C143" s="178">
        <v>66.959999999999994</v>
      </c>
    </row>
    <row r="144" spans="1:3" ht="12.95" hidden="1" customHeight="1" thickBot="1">
      <c r="A144" s="208" t="s">
        <v>339</v>
      </c>
      <c r="B144" s="12">
        <v>10</v>
      </c>
      <c r="C144" s="182">
        <v>88.559999999999988</v>
      </c>
    </row>
    <row r="145" spans="1:3" ht="15" thickBot="1">
      <c r="A145" s="205" t="s">
        <v>340</v>
      </c>
      <c r="B145" s="128">
        <v>4</v>
      </c>
      <c r="C145" s="177">
        <f>1.04*43.0296</f>
        <v>44.750784000000003</v>
      </c>
    </row>
    <row r="146" spans="1:3" ht="14.25" hidden="1">
      <c r="A146" s="207" t="s">
        <v>340</v>
      </c>
      <c r="B146" s="176">
        <v>6</v>
      </c>
      <c r="C146" s="178">
        <v>58.32</v>
      </c>
    </row>
    <row r="147" spans="1:3" ht="14.25" hidden="1">
      <c r="A147" s="207" t="s">
        <v>340</v>
      </c>
      <c r="B147" s="176">
        <v>8</v>
      </c>
      <c r="C147" s="178">
        <v>66.959999999999994</v>
      </c>
    </row>
    <row r="148" spans="1:3" ht="15" hidden="1" thickBot="1">
      <c r="A148" s="208" t="s">
        <v>340</v>
      </c>
      <c r="B148" s="12">
        <v>10</v>
      </c>
      <c r="C148" s="182">
        <v>88.559999999999988</v>
      </c>
    </row>
    <row r="149" spans="1:3" ht="12.95" customHeight="1" thickBot="1">
      <c r="A149" s="205" t="s">
        <v>341</v>
      </c>
      <c r="B149" s="128">
        <v>4</v>
      </c>
      <c r="C149" s="177">
        <f>1.04*52.0071</f>
        <v>54.087384</v>
      </c>
    </row>
    <row r="150" spans="1:3" ht="12.95" hidden="1" customHeight="1">
      <c r="A150" s="207" t="s">
        <v>341</v>
      </c>
      <c r="B150" s="176">
        <v>6</v>
      </c>
      <c r="C150" s="178">
        <v>62.64</v>
      </c>
    </row>
    <row r="151" spans="1:3" ht="12.95" hidden="1" customHeight="1">
      <c r="A151" s="207" t="s">
        <v>341</v>
      </c>
      <c r="B151" s="176">
        <v>8</v>
      </c>
      <c r="C151" s="178"/>
    </row>
    <row r="152" spans="1:3" ht="12.95" hidden="1" customHeight="1" thickBot="1">
      <c r="A152" s="209" t="s">
        <v>341</v>
      </c>
      <c r="B152" s="179">
        <v>10</v>
      </c>
      <c r="C152" s="180"/>
    </row>
    <row r="153" spans="1:3" ht="15.75" thickBot="1">
      <c r="A153" s="738" t="s">
        <v>342</v>
      </c>
      <c r="B153" s="739"/>
      <c r="C153" s="740"/>
    </row>
    <row r="154" spans="1:3" ht="15" thickBot="1">
      <c r="A154" s="205" t="s">
        <v>343</v>
      </c>
      <c r="B154" s="128">
        <v>4</v>
      </c>
      <c r="C154" s="177">
        <f>1.04*67.0914</f>
        <v>69.775055999999992</v>
      </c>
    </row>
    <row r="155" spans="1:3" ht="14.25" hidden="1">
      <c r="A155" s="207" t="s">
        <v>343</v>
      </c>
      <c r="B155" s="176">
        <v>6</v>
      </c>
      <c r="C155" s="178"/>
    </row>
    <row r="156" spans="1:3" ht="14.25" hidden="1">
      <c r="A156" s="207" t="s">
        <v>343</v>
      </c>
      <c r="B156" s="176">
        <v>8</v>
      </c>
      <c r="C156" s="178"/>
    </row>
    <row r="157" spans="1:3" ht="15" hidden="1" thickBot="1">
      <c r="A157" s="209" t="s">
        <v>343</v>
      </c>
      <c r="B157" s="179">
        <v>10</v>
      </c>
      <c r="C157" s="180"/>
    </row>
    <row r="158" spans="1:3" ht="15" thickBot="1">
      <c r="A158" s="205" t="s">
        <v>344</v>
      </c>
      <c r="B158" s="128">
        <v>4</v>
      </c>
      <c r="C158" s="177">
        <f>1.04*67.0914</f>
        <v>69.775055999999992</v>
      </c>
    </row>
    <row r="159" spans="1:3" ht="14.25" hidden="1">
      <c r="A159" s="207" t="s">
        <v>344</v>
      </c>
      <c r="B159" s="176">
        <v>6</v>
      </c>
      <c r="C159" s="178"/>
    </row>
    <row r="160" spans="1:3" ht="14.25" hidden="1">
      <c r="A160" s="207" t="s">
        <v>344</v>
      </c>
      <c r="B160" s="176">
        <v>8</v>
      </c>
      <c r="C160" s="178"/>
    </row>
    <row r="161" spans="1:12" ht="15" hidden="1" thickBot="1">
      <c r="A161" s="209" t="s">
        <v>344</v>
      </c>
      <c r="B161" s="179">
        <v>10</v>
      </c>
      <c r="C161" s="180"/>
    </row>
    <row r="162" spans="1:12" ht="15.75" thickBot="1">
      <c r="A162" s="730" t="s">
        <v>69</v>
      </c>
      <c r="B162" s="731"/>
      <c r="C162" s="732"/>
    </row>
    <row r="163" spans="1:12" ht="15.95" customHeight="1" thickBot="1">
      <c r="A163" s="743" t="s">
        <v>220</v>
      </c>
      <c r="B163" s="744"/>
      <c r="C163" s="197">
        <v>3.3</v>
      </c>
    </row>
    <row r="164" spans="1:12" ht="12.95" customHeight="1" thickBot="1">
      <c r="A164" s="226" t="s">
        <v>345</v>
      </c>
      <c r="B164" s="128" t="s">
        <v>65</v>
      </c>
      <c r="C164" s="193">
        <v>1.2</v>
      </c>
      <c r="D164" s="449"/>
      <c r="E164" s="450"/>
      <c r="F164" s="450"/>
      <c r="G164" s="450"/>
      <c r="H164" s="450"/>
      <c r="I164" s="450"/>
      <c r="J164" s="450"/>
      <c r="K164" s="450"/>
      <c r="L164" s="450"/>
    </row>
    <row r="165" spans="1:12" ht="14.1" hidden="1" customHeight="1">
      <c r="A165" s="227" t="s">
        <v>345</v>
      </c>
      <c r="B165" s="176" t="s">
        <v>66</v>
      </c>
      <c r="C165" s="194">
        <v>0.75600000000000001</v>
      </c>
      <c r="D165" s="449"/>
      <c r="E165" s="450"/>
      <c r="F165" s="450"/>
      <c r="G165" s="450"/>
      <c r="H165" s="450"/>
      <c r="I165" s="450"/>
      <c r="J165" s="450"/>
      <c r="K165" s="450"/>
      <c r="L165" s="450"/>
    </row>
    <row r="166" spans="1:12" ht="15" hidden="1" customHeight="1" thickBot="1">
      <c r="A166" s="228" t="s">
        <v>345</v>
      </c>
      <c r="B166" s="12" t="s">
        <v>67</v>
      </c>
      <c r="C166" s="196">
        <v>1.08</v>
      </c>
      <c r="D166" s="449"/>
      <c r="E166" s="450"/>
      <c r="F166" s="450"/>
      <c r="G166" s="450"/>
      <c r="H166" s="450"/>
      <c r="I166" s="450"/>
      <c r="J166" s="450"/>
      <c r="K166" s="450"/>
      <c r="L166" s="450"/>
    </row>
    <row r="167" spans="1:12" ht="12.95" customHeight="1">
      <c r="A167" s="423" t="s">
        <v>427</v>
      </c>
      <c r="B167" s="128" t="s">
        <v>65</v>
      </c>
      <c r="C167" s="193">
        <f>1.04*1.42853</f>
        <v>1.4856712000000001</v>
      </c>
      <c r="D167" s="449"/>
      <c r="E167" s="450"/>
      <c r="F167" s="450"/>
      <c r="G167" s="450"/>
      <c r="H167" s="450"/>
      <c r="I167" s="450"/>
      <c r="J167" s="450"/>
      <c r="K167" s="450"/>
      <c r="L167" s="450"/>
    </row>
    <row r="168" spans="1:12" ht="15" hidden="1" customHeight="1">
      <c r="A168" s="229" t="s">
        <v>346</v>
      </c>
      <c r="B168" s="176" t="s">
        <v>66</v>
      </c>
      <c r="C168" s="194">
        <v>1.512</v>
      </c>
      <c r="D168" s="449"/>
      <c r="E168" s="450"/>
      <c r="F168" s="450"/>
      <c r="G168" s="450"/>
      <c r="H168" s="450"/>
      <c r="I168" s="450"/>
      <c r="J168" s="450"/>
      <c r="K168" s="450"/>
      <c r="L168" s="450"/>
    </row>
    <row r="169" spans="1:12" ht="14.45" hidden="1" customHeight="1" thickBot="1">
      <c r="A169" s="230" t="s">
        <v>346</v>
      </c>
      <c r="B169" s="179" t="s">
        <v>67</v>
      </c>
      <c r="C169" s="195">
        <v>2.16</v>
      </c>
      <c r="D169" s="449"/>
      <c r="E169" s="450"/>
      <c r="F169" s="450"/>
      <c r="G169" s="450"/>
      <c r="H169" s="450"/>
      <c r="I169" s="450"/>
      <c r="J169" s="450"/>
      <c r="K169" s="450"/>
      <c r="L169" s="450"/>
    </row>
    <row r="170" spans="1:12" ht="15.95" customHeight="1" thickBot="1">
      <c r="A170" s="424" t="s">
        <v>69</v>
      </c>
      <c r="B170" s="181" t="s">
        <v>70</v>
      </c>
      <c r="C170" s="199">
        <v>5</v>
      </c>
    </row>
    <row r="171" spans="1:12" ht="14.25" hidden="1">
      <c r="A171" s="227" t="s">
        <v>69</v>
      </c>
      <c r="B171" s="176" t="s">
        <v>71</v>
      </c>
      <c r="C171" s="194">
        <v>15.12</v>
      </c>
    </row>
    <row r="172" spans="1:12" ht="15" hidden="1" thickBot="1">
      <c r="A172" s="231" t="s">
        <v>69</v>
      </c>
      <c r="B172" s="179" t="s">
        <v>72</v>
      </c>
      <c r="C172" s="195">
        <v>18.36</v>
      </c>
    </row>
    <row r="173" spans="1:12" ht="15" thickBot="1">
      <c r="A173" s="736" t="s">
        <v>347</v>
      </c>
      <c r="B173" s="737"/>
      <c r="C173" s="190">
        <v>1.6469999999999998</v>
      </c>
    </row>
    <row r="174" spans="1:12" ht="14.45" customHeight="1" thickBot="1">
      <c r="A174" s="738" t="s">
        <v>349</v>
      </c>
      <c r="B174" s="739"/>
      <c r="C174" s="740"/>
    </row>
    <row r="175" spans="1:12" ht="14.45" customHeight="1">
      <c r="A175" s="425" t="s">
        <v>68</v>
      </c>
      <c r="B175" s="232" t="s">
        <v>40</v>
      </c>
      <c r="C175" s="193">
        <v>1.08</v>
      </c>
      <c r="D175" s="741" t="s">
        <v>348</v>
      </c>
      <c r="E175" s="742"/>
      <c r="F175" s="742"/>
      <c r="G175" s="742"/>
      <c r="H175" s="742"/>
      <c r="I175" s="742"/>
      <c r="J175" s="742"/>
      <c r="K175" s="742"/>
      <c r="L175" s="742"/>
    </row>
    <row r="176" spans="1:12" ht="14.45" customHeight="1" thickBot="1">
      <c r="A176" s="426" t="s">
        <v>68</v>
      </c>
      <c r="B176" s="233" t="s">
        <v>41</v>
      </c>
      <c r="C176" s="195">
        <v>1.5</v>
      </c>
      <c r="D176" s="741"/>
      <c r="E176" s="742"/>
      <c r="F176" s="742"/>
      <c r="G176" s="742"/>
      <c r="H176" s="742"/>
      <c r="I176" s="742"/>
      <c r="J176" s="742"/>
      <c r="K176" s="742"/>
      <c r="L176" s="742"/>
    </row>
    <row r="177" spans="1:12" ht="14.45" customHeight="1" thickBot="1">
      <c r="A177" s="235" t="s">
        <v>103</v>
      </c>
      <c r="B177" s="127" t="s">
        <v>104</v>
      </c>
      <c r="C177" s="198">
        <v>0.65</v>
      </c>
      <c r="D177" s="741"/>
      <c r="E177" s="742"/>
      <c r="F177" s="742"/>
      <c r="G177" s="742"/>
      <c r="H177" s="742"/>
      <c r="I177" s="742"/>
      <c r="J177" s="742"/>
      <c r="K177" s="742"/>
      <c r="L177" s="742"/>
    </row>
  </sheetData>
  <sheetProtection algorithmName="SHA-512" hashValue="fd90jc/0ZfRWOISTntqz48npW07KF03TK6/MhGVzLhOpn2Noaku00Rz2BPVp8vGTDxJS/PVTglRdeyUrSdi0Sw==" saltValue="AV0U10ejMAl4npSqYEruPQ==" spinCount="100000" sheet="1" objects="1" scenarios="1"/>
  <mergeCells count="11">
    <mergeCell ref="D175:L177"/>
    <mergeCell ref="A107:C107"/>
    <mergeCell ref="A136:C136"/>
    <mergeCell ref="A153:C153"/>
    <mergeCell ref="A162:C162"/>
    <mergeCell ref="A163:B163"/>
    <mergeCell ref="A52:C52"/>
    <mergeCell ref="A2:C2"/>
    <mergeCell ref="A77:C77"/>
    <mergeCell ref="A173:B173"/>
    <mergeCell ref="A174:C174"/>
  </mergeCells>
  <phoneticPr fontId="37" type="noConversion"/>
  <pageMargins left="0.2" right="0.2" top="0.75" bottom="0.75" header="0.3" footer="0.3"/>
  <pageSetup paperSize="9" scale="70"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5"/>
  <dimension ref="A1:L93"/>
  <sheetViews>
    <sheetView zoomScaleNormal="100" workbookViewId="0">
      <selection activeCell="L27" sqref="L27"/>
    </sheetView>
  </sheetViews>
  <sheetFormatPr defaultColWidth="8.85546875" defaultRowHeight="15"/>
  <cols>
    <col min="1" max="1" width="84.42578125" customWidth="1"/>
    <col min="2" max="3" width="15.7109375" hidden="1" customWidth="1"/>
    <col min="4" max="4" width="13.7109375" customWidth="1"/>
    <col min="10" max="10" width="28.42578125" customWidth="1"/>
  </cols>
  <sheetData>
    <row r="1" spans="1:3" s="135" customFormat="1" ht="30" customHeight="1">
      <c r="A1" s="745" t="s">
        <v>266</v>
      </c>
      <c r="B1" s="745"/>
      <c r="C1" s="745"/>
    </row>
    <row r="2" spans="1:3">
      <c r="A2" s="28" t="s">
        <v>85</v>
      </c>
      <c r="B2" s="22" t="s">
        <v>145</v>
      </c>
      <c r="C2" s="31" t="s">
        <v>74</v>
      </c>
    </row>
    <row r="3" spans="1:3" ht="15" customHeight="1">
      <c r="A3" s="23" t="s">
        <v>86</v>
      </c>
      <c r="B3" s="138"/>
      <c r="C3" s="33"/>
    </row>
    <row r="4" spans="1:3" ht="15" customHeight="1">
      <c r="A4" s="24" t="s">
        <v>229</v>
      </c>
      <c r="B4" s="139">
        <v>75</v>
      </c>
      <c r="C4" s="34"/>
    </row>
    <row r="5" spans="1:3" ht="15" customHeight="1">
      <c r="A5" s="24" t="s">
        <v>230</v>
      </c>
      <c r="B5" s="139">
        <v>78.55</v>
      </c>
      <c r="C5" s="34"/>
    </row>
    <row r="6" spans="1:3" ht="15" customHeight="1">
      <c r="A6" s="32" t="s">
        <v>231</v>
      </c>
      <c r="B6" s="139">
        <v>71.86</v>
      </c>
      <c r="C6" s="34"/>
    </row>
    <row r="7" spans="1:3" ht="15" customHeight="1">
      <c r="A7" s="24" t="s">
        <v>232</v>
      </c>
      <c r="B7" s="139">
        <v>10.26</v>
      </c>
      <c r="C7" s="34"/>
    </row>
    <row r="8" spans="1:3" ht="15" customHeight="1">
      <c r="A8" s="24" t="s">
        <v>268</v>
      </c>
      <c r="B8" s="139">
        <v>30</v>
      </c>
      <c r="C8" s="34"/>
    </row>
    <row r="9" spans="1:3" ht="15" customHeight="1">
      <c r="A9" s="24" t="s">
        <v>233</v>
      </c>
      <c r="B9" s="139">
        <v>13.16</v>
      </c>
      <c r="C9" s="34"/>
    </row>
    <row r="10" spans="1:3" ht="15" customHeight="1">
      <c r="A10" s="24" t="s">
        <v>234</v>
      </c>
      <c r="B10" s="139">
        <v>10.26</v>
      </c>
      <c r="C10" s="34"/>
    </row>
    <row r="11" spans="1:3" ht="15" customHeight="1">
      <c r="A11" s="24" t="s">
        <v>238</v>
      </c>
      <c r="B11" s="139">
        <v>22.48</v>
      </c>
      <c r="C11" s="34"/>
    </row>
    <row r="12" spans="1:3" ht="15" customHeight="1">
      <c r="A12" s="24" t="s">
        <v>239</v>
      </c>
      <c r="B12" s="139">
        <v>44.96</v>
      </c>
      <c r="C12" s="34"/>
    </row>
    <row r="13" spans="1:3" ht="15" customHeight="1">
      <c r="A13" s="24" t="s">
        <v>235</v>
      </c>
      <c r="B13" s="139">
        <v>7.3319999999999999</v>
      </c>
      <c r="C13" s="34"/>
    </row>
    <row r="14" spans="1:3" ht="15" customHeight="1">
      <c r="A14" s="24" t="s">
        <v>236</v>
      </c>
      <c r="B14" s="139">
        <v>11.249000000000001</v>
      </c>
      <c r="C14" s="34"/>
    </row>
    <row r="15" spans="1:3" ht="15" customHeight="1">
      <c r="A15" s="30" t="s">
        <v>237</v>
      </c>
      <c r="B15" s="140">
        <v>13.277000000000001</v>
      </c>
      <c r="C15" s="35"/>
    </row>
    <row r="16" spans="1:3" ht="15" customHeight="1">
      <c r="A16" s="23" t="s">
        <v>87</v>
      </c>
      <c r="B16" s="138"/>
      <c r="C16" s="34"/>
    </row>
    <row r="17" spans="1:3" ht="15" customHeight="1">
      <c r="A17" s="24" t="s">
        <v>229</v>
      </c>
      <c r="B17" s="139">
        <v>84.4</v>
      </c>
      <c r="C17" s="34"/>
    </row>
    <row r="18" spans="1:3" ht="15" customHeight="1">
      <c r="A18" s="24" t="s">
        <v>230</v>
      </c>
      <c r="B18" s="139">
        <v>88.53</v>
      </c>
      <c r="C18" s="34"/>
    </row>
    <row r="19" spans="1:3" ht="15" customHeight="1">
      <c r="A19" s="32" t="s">
        <v>231</v>
      </c>
      <c r="B19" s="139">
        <v>81.84</v>
      </c>
      <c r="C19" s="34"/>
    </row>
    <row r="20" spans="1:3" ht="15" customHeight="1">
      <c r="A20" s="24" t="s">
        <v>232</v>
      </c>
      <c r="B20" s="139">
        <v>11.62</v>
      </c>
      <c r="C20" s="34"/>
    </row>
    <row r="21" spans="1:3" ht="15" customHeight="1">
      <c r="A21" s="24" t="s">
        <v>268</v>
      </c>
      <c r="B21" s="139">
        <v>30</v>
      </c>
      <c r="C21" s="34"/>
    </row>
    <row r="22" spans="1:3" ht="15" customHeight="1">
      <c r="A22" s="24" t="s">
        <v>233</v>
      </c>
      <c r="B22" s="139">
        <v>14.96</v>
      </c>
      <c r="C22" s="34"/>
    </row>
    <row r="23" spans="1:3" ht="15" customHeight="1">
      <c r="A23" s="24" t="s">
        <v>234</v>
      </c>
      <c r="B23" s="139">
        <v>11.62</v>
      </c>
      <c r="C23" s="34"/>
    </row>
    <row r="24" spans="1:3" ht="15" customHeight="1">
      <c r="A24" s="24" t="s">
        <v>238</v>
      </c>
      <c r="B24" s="139">
        <v>25.52</v>
      </c>
      <c r="C24" s="34"/>
    </row>
    <row r="25" spans="1:3" ht="15" customHeight="1">
      <c r="A25" s="24" t="s">
        <v>239</v>
      </c>
      <c r="B25" s="139">
        <v>51.04</v>
      </c>
      <c r="C25" s="34"/>
    </row>
    <row r="26" spans="1:3" ht="15" customHeight="1">
      <c r="A26" s="24" t="s">
        <v>235</v>
      </c>
      <c r="B26" s="139">
        <v>8.2149999999999999</v>
      </c>
      <c r="C26" s="34"/>
    </row>
    <row r="27" spans="1:3" ht="15" customHeight="1">
      <c r="A27" s="24" t="s">
        <v>236</v>
      </c>
      <c r="B27" s="139">
        <v>12.726000000000001</v>
      </c>
      <c r="C27" s="34"/>
    </row>
    <row r="28" spans="1:3" ht="15" customHeight="1">
      <c r="A28" s="30" t="s">
        <v>237</v>
      </c>
      <c r="B28" s="140">
        <v>14.806000000000001</v>
      </c>
      <c r="C28" s="35"/>
    </row>
    <row r="29" spans="1:3" ht="15" customHeight="1">
      <c r="A29" s="23" t="s">
        <v>247</v>
      </c>
      <c r="B29" s="138"/>
      <c r="C29" s="34"/>
    </row>
    <row r="30" spans="1:3" ht="15" customHeight="1">
      <c r="A30" s="24" t="s">
        <v>229</v>
      </c>
      <c r="B30" s="139">
        <v>93.5</v>
      </c>
      <c r="C30" s="34"/>
    </row>
    <row r="31" spans="1:3" ht="15" customHeight="1">
      <c r="A31" s="24" t="s">
        <v>230</v>
      </c>
      <c r="B31" s="139">
        <v>98.5</v>
      </c>
      <c r="C31" s="34"/>
    </row>
    <row r="32" spans="1:3" ht="15" customHeight="1">
      <c r="A32" s="32" t="s">
        <v>231</v>
      </c>
      <c r="B32" s="139">
        <v>90.42</v>
      </c>
      <c r="C32" s="34"/>
    </row>
    <row r="33" spans="1:3" ht="15" customHeight="1">
      <c r="A33" s="24" t="s">
        <v>232</v>
      </c>
      <c r="B33" s="139">
        <v>11.62</v>
      </c>
      <c r="C33" s="34"/>
    </row>
    <row r="34" spans="1:3" ht="15" customHeight="1">
      <c r="A34" s="24" t="s">
        <v>268</v>
      </c>
      <c r="B34" s="139">
        <v>30</v>
      </c>
      <c r="C34" s="34"/>
    </row>
    <row r="35" spans="1:3" ht="15" customHeight="1">
      <c r="A35" s="24" t="s">
        <v>233</v>
      </c>
      <c r="B35" s="139">
        <v>14.96</v>
      </c>
      <c r="C35" s="34"/>
    </row>
    <row r="36" spans="1:3" ht="15" customHeight="1">
      <c r="A36" s="24" t="s">
        <v>234</v>
      </c>
      <c r="B36" s="139">
        <v>11.62</v>
      </c>
      <c r="C36" s="34"/>
    </row>
    <row r="37" spans="1:3" ht="15" customHeight="1">
      <c r="A37" s="24" t="s">
        <v>238</v>
      </c>
      <c r="B37" s="139">
        <v>25.52</v>
      </c>
      <c r="C37" s="34"/>
    </row>
    <row r="38" spans="1:3" ht="15" customHeight="1">
      <c r="A38" s="24" t="s">
        <v>239</v>
      </c>
      <c r="B38" s="139">
        <v>51.04</v>
      </c>
      <c r="C38" s="34"/>
    </row>
    <row r="39" spans="1:3" ht="15" customHeight="1">
      <c r="A39" s="24" t="s">
        <v>235</v>
      </c>
      <c r="B39" s="139">
        <v>8.2149999999999999</v>
      </c>
      <c r="C39" s="34"/>
    </row>
    <row r="40" spans="1:3" ht="15" customHeight="1">
      <c r="A40" s="24" t="s">
        <v>236</v>
      </c>
      <c r="B40" s="139">
        <v>12.726000000000001</v>
      </c>
      <c r="C40" s="34"/>
    </row>
    <row r="41" spans="1:3" ht="15" customHeight="1" thickBot="1">
      <c r="A41" s="30" t="s">
        <v>237</v>
      </c>
      <c r="B41" s="140">
        <v>14.806000000000001</v>
      </c>
      <c r="C41" s="34"/>
    </row>
    <row r="42" spans="1:3" ht="15" customHeight="1">
      <c r="A42" s="15"/>
      <c r="B42" s="16"/>
      <c r="C42" s="141">
        <f>SUMPRODUCT(B4:B41,C4:C41)</f>
        <v>0</v>
      </c>
    </row>
    <row r="43" spans="1:3" ht="15" customHeight="1" thickBot="1">
      <c r="A43" s="134" t="s">
        <v>267</v>
      </c>
      <c r="B43" s="146"/>
      <c r="C43" s="142">
        <f>B43*C42</f>
        <v>0</v>
      </c>
    </row>
    <row r="44" spans="1:3">
      <c r="A44" s="28"/>
      <c r="B44" s="22" t="s">
        <v>145</v>
      </c>
      <c r="C44" s="31" t="s">
        <v>74</v>
      </c>
    </row>
    <row r="45" spans="1:3" ht="15" customHeight="1">
      <c r="A45" s="23" t="s">
        <v>86</v>
      </c>
      <c r="B45" s="153"/>
      <c r="C45" s="33"/>
    </row>
    <row r="46" spans="1:3" ht="15" customHeight="1">
      <c r="A46" s="24" t="s">
        <v>229</v>
      </c>
      <c r="B46" s="154">
        <v>75</v>
      </c>
      <c r="C46" s="34"/>
    </row>
    <row r="47" spans="1:3" ht="15" customHeight="1">
      <c r="A47" s="24" t="s">
        <v>230</v>
      </c>
      <c r="B47" s="154">
        <v>78.55</v>
      </c>
      <c r="C47" s="34"/>
    </row>
    <row r="48" spans="1:3" ht="15" customHeight="1">
      <c r="A48" s="32" t="s">
        <v>231</v>
      </c>
      <c r="B48" s="154">
        <v>71.86</v>
      </c>
      <c r="C48" s="34"/>
    </row>
    <row r="49" spans="1:3" ht="15" customHeight="1">
      <c r="A49" s="24" t="s">
        <v>232</v>
      </c>
      <c r="B49" s="154">
        <v>10.26</v>
      </c>
      <c r="C49" s="34"/>
    </row>
    <row r="50" spans="1:3" ht="15" customHeight="1">
      <c r="A50" s="24" t="s">
        <v>233</v>
      </c>
      <c r="B50" s="154">
        <v>13.16</v>
      </c>
      <c r="C50" s="34"/>
    </row>
    <row r="51" spans="1:3" ht="15" customHeight="1">
      <c r="A51" s="24" t="s">
        <v>234</v>
      </c>
      <c r="B51" s="154">
        <v>10.26</v>
      </c>
      <c r="C51" s="34"/>
    </row>
    <row r="52" spans="1:3" ht="15" customHeight="1">
      <c r="A52" s="24" t="s">
        <v>238</v>
      </c>
      <c r="B52" s="154">
        <v>22.48</v>
      </c>
      <c r="C52" s="34"/>
    </row>
    <row r="53" spans="1:3" ht="15" customHeight="1">
      <c r="A53" s="24" t="s">
        <v>239</v>
      </c>
      <c r="B53" s="154">
        <v>44.96</v>
      </c>
      <c r="C53" s="34"/>
    </row>
    <row r="54" spans="1:3" ht="15" customHeight="1">
      <c r="A54" s="24" t="s">
        <v>235</v>
      </c>
      <c r="B54" s="154">
        <v>7.3319999999999999</v>
      </c>
      <c r="C54" s="34"/>
    </row>
    <row r="55" spans="1:3" ht="15" customHeight="1">
      <c r="A55" s="24" t="s">
        <v>236</v>
      </c>
      <c r="B55" s="154">
        <v>11.249000000000001</v>
      </c>
      <c r="C55" s="34"/>
    </row>
    <row r="56" spans="1:3" ht="15" customHeight="1">
      <c r="A56" s="30" t="s">
        <v>237</v>
      </c>
      <c r="B56" s="155">
        <v>13.277000000000001</v>
      </c>
      <c r="C56" s="35"/>
    </row>
    <row r="57" spans="1:3" ht="15" customHeight="1">
      <c r="A57" s="23" t="s">
        <v>87</v>
      </c>
      <c r="B57" s="153"/>
      <c r="C57" s="34"/>
    </row>
    <row r="58" spans="1:3" ht="15" customHeight="1">
      <c r="A58" s="24" t="s">
        <v>229</v>
      </c>
      <c r="B58" s="154">
        <v>84.4</v>
      </c>
      <c r="C58" s="34"/>
    </row>
    <row r="59" spans="1:3" ht="15" customHeight="1">
      <c r="A59" s="24" t="s">
        <v>230</v>
      </c>
      <c r="B59" s="154">
        <v>88.53</v>
      </c>
      <c r="C59" s="34"/>
    </row>
    <row r="60" spans="1:3" ht="15" customHeight="1">
      <c r="A60" s="32" t="s">
        <v>231</v>
      </c>
      <c r="B60" s="154">
        <v>81.84</v>
      </c>
      <c r="C60" s="34"/>
    </row>
    <row r="61" spans="1:3" ht="15" customHeight="1">
      <c r="A61" s="24" t="s">
        <v>232</v>
      </c>
      <c r="B61" s="154">
        <v>11.62</v>
      </c>
      <c r="C61" s="34"/>
    </row>
    <row r="62" spans="1:3" ht="15" customHeight="1">
      <c r="A62" s="24" t="s">
        <v>233</v>
      </c>
      <c r="B62" s="154">
        <v>14.96</v>
      </c>
      <c r="C62" s="34"/>
    </row>
    <row r="63" spans="1:3" ht="15" customHeight="1">
      <c r="A63" s="24" t="s">
        <v>234</v>
      </c>
      <c r="B63" s="154">
        <v>11.62</v>
      </c>
      <c r="C63" s="34"/>
    </row>
    <row r="64" spans="1:3" ht="15" customHeight="1">
      <c r="A64" s="24" t="s">
        <v>238</v>
      </c>
      <c r="B64" s="154">
        <v>25.52</v>
      </c>
      <c r="C64" s="34"/>
    </row>
    <row r="65" spans="1:3" ht="15" customHeight="1">
      <c r="A65" s="24" t="s">
        <v>239</v>
      </c>
      <c r="B65" s="154">
        <v>51.04</v>
      </c>
      <c r="C65" s="34"/>
    </row>
    <row r="66" spans="1:3" ht="15" customHeight="1">
      <c r="A66" s="24" t="s">
        <v>235</v>
      </c>
      <c r="B66" s="154">
        <v>8.2149999999999999</v>
      </c>
      <c r="C66" s="34"/>
    </row>
    <row r="67" spans="1:3" ht="15" customHeight="1">
      <c r="A67" s="24" t="s">
        <v>236</v>
      </c>
      <c r="B67" s="154">
        <v>12.726000000000001</v>
      </c>
      <c r="C67" s="34"/>
    </row>
    <row r="68" spans="1:3" ht="15" customHeight="1">
      <c r="A68" s="30" t="s">
        <v>237</v>
      </c>
      <c r="B68" s="155">
        <v>14.806000000000001</v>
      </c>
      <c r="C68" s="35"/>
    </row>
    <row r="69" spans="1:3" ht="15" customHeight="1">
      <c r="A69" s="23" t="s">
        <v>247</v>
      </c>
      <c r="B69" s="153"/>
      <c r="C69" s="34"/>
    </row>
    <row r="70" spans="1:3" ht="15" customHeight="1">
      <c r="A70" s="24" t="s">
        <v>229</v>
      </c>
      <c r="B70" s="154">
        <v>93.5</v>
      </c>
      <c r="C70" s="34"/>
    </row>
    <row r="71" spans="1:3" ht="15" customHeight="1">
      <c r="A71" s="24" t="s">
        <v>230</v>
      </c>
      <c r="B71" s="154">
        <v>98.5</v>
      </c>
      <c r="C71" s="34"/>
    </row>
    <row r="72" spans="1:3" ht="15" customHeight="1">
      <c r="A72" s="32" t="s">
        <v>231</v>
      </c>
      <c r="B72" s="154">
        <v>90.42</v>
      </c>
      <c r="C72" s="34"/>
    </row>
    <row r="73" spans="1:3" ht="15" customHeight="1">
      <c r="A73" s="24" t="s">
        <v>232</v>
      </c>
      <c r="B73" s="154">
        <v>11.62</v>
      </c>
      <c r="C73" s="34"/>
    </row>
    <row r="74" spans="1:3" ht="15" customHeight="1">
      <c r="A74" s="24" t="s">
        <v>233</v>
      </c>
      <c r="B74" s="154">
        <v>14.96</v>
      </c>
      <c r="C74" s="34"/>
    </row>
    <row r="75" spans="1:3" ht="15" customHeight="1">
      <c r="A75" s="24" t="s">
        <v>234</v>
      </c>
      <c r="B75" s="154">
        <v>11.62</v>
      </c>
      <c r="C75" s="34"/>
    </row>
    <row r="76" spans="1:3" ht="15" customHeight="1">
      <c r="A76" s="24" t="s">
        <v>238</v>
      </c>
      <c r="B76" s="154">
        <v>25.52</v>
      </c>
      <c r="C76" s="34"/>
    </row>
    <row r="77" spans="1:3" ht="15" customHeight="1">
      <c r="A77" s="24" t="s">
        <v>239</v>
      </c>
      <c r="B77" s="154">
        <v>51.04</v>
      </c>
      <c r="C77" s="34"/>
    </row>
    <row r="78" spans="1:3" ht="15" customHeight="1">
      <c r="A78" s="24" t="s">
        <v>235</v>
      </c>
      <c r="B78" s="154">
        <v>8.2149999999999999</v>
      </c>
      <c r="C78" s="34"/>
    </row>
    <row r="79" spans="1:3" ht="15" customHeight="1">
      <c r="A79" s="24" t="s">
        <v>236</v>
      </c>
      <c r="B79" s="154">
        <v>12.726000000000001</v>
      </c>
      <c r="C79" s="34"/>
    </row>
    <row r="80" spans="1:3" ht="15" customHeight="1">
      <c r="A80" s="30" t="s">
        <v>237</v>
      </c>
      <c r="B80" s="155">
        <v>14.806000000000001</v>
      </c>
      <c r="C80" s="35"/>
    </row>
    <row r="81" spans="1:12" ht="15" customHeight="1">
      <c r="A81" s="746" t="s">
        <v>277</v>
      </c>
      <c r="B81" s="746"/>
      <c r="C81" s="746"/>
      <c r="D81" s="746"/>
      <c r="E81" s="746"/>
      <c r="F81" s="746"/>
      <c r="G81" s="746"/>
      <c r="H81" s="746"/>
      <c r="I81" s="746"/>
      <c r="J81" s="746"/>
      <c r="K81" s="746"/>
      <c r="L81" s="746"/>
    </row>
    <row r="82" spans="1:12" ht="15" customHeight="1">
      <c r="A82" s="746"/>
      <c r="B82" s="746"/>
      <c r="C82" s="746"/>
      <c r="D82" s="746"/>
      <c r="E82" s="746"/>
      <c r="F82" s="746"/>
      <c r="G82" s="746"/>
      <c r="H82" s="746"/>
      <c r="I82" s="746"/>
      <c r="J82" s="746"/>
      <c r="K82" s="746"/>
      <c r="L82" s="746"/>
    </row>
    <row r="83" spans="1:12" ht="51.75" customHeight="1">
      <c r="A83" s="746"/>
      <c r="B83" s="746"/>
      <c r="C83" s="746"/>
      <c r="D83" s="746"/>
      <c r="E83" s="746"/>
      <c r="F83" s="746"/>
      <c r="G83" s="746"/>
      <c r="H83" s="746"/>
      <c r="I83" s="746"/>
      <c r="J83" s="746"/>
      <c r="K83" s="746"/>
      <c r="L83" s="746"/>
    </row>
    <row r="84" spans="1:12" ht="15" customHeight="1">
      <c r="A84" s="15"/>
      <c r="B84" s="15"/>
      <c r="C84" s="15"/>
    </row>
    <row r="85" spans="1:12" ht="28.5" customHeight="1">
      <c r="A85" s="747" t="s">
        <v>278</v>
      </c>
      <c r="B85" s="747"/>
      <c r="C85" s="747"/>
      <c r="D85" s="747"/>
      <c r="E85" s="747"/>
      <c r="F85" s="747"/>
      <c r="G85" s="747"/>
      <c r="H85" s="747"/>
      <c r="I85" s="747"/>
      <c r="J85" s="156" t="s">
        <v>279</v>
      </c>
      <c r="K85" s="156" t="s">
        <v>280</v>
      </c>
      <c r="L85" s="156" t="s">
        <v>281</v>
      </c>
    </row>
    <row r="86" spans="1:12" ht="21">
      <c r="A86" s="748" t="s">
        <v>282</v>
      </c>
      <c r="B86" s="748"/>
      <c r="C86" s="748"/>
      <c r="D86" s="748"/>
      <c r="E86" s="748"/>
      <c r="F86" s="748"/>
      <c r="G86" s="748"/>
      <c r="H86" s="748"/>
      <c r="I86" s="748"/>
      <c r="J86" s="157">
        <v>150</v>
      </c>
      <c r="K86" s="158"/>
      <c r="L86" s="157">
        <f t="shared" ref="L86:L91" si="0">J86*K86</f>
        <v>0</v>
      </c>
    </row>
    <row r="87" spans="1:12" ht="21">
      <c r="A87" s="748" t="s">
        <v>283</v>
      </c>
      <c r="B87" s="748"/>
      <c r="C87" s="748"/>
      <c r="D87" s="748"/>
      <c r="E87" s="748"/>
      <c r="F87" s="748"/>
      <c r="G87" s="748"/>
      <c r="H87" s="748"/>
      <c r="I87" s="748"/>
      <c r="J87" s="157">
        <v>150</v>
      </c>
      <c r="K87" s="158"/>
      <c r="L87" s="157">
        <f t="shared" si="0"/>
        <v>0</v>
      </c>
    </row>
    <row r="88" spans="1:12" ht="21">
      <c r="A88" s="748" t="s">
        <v>284</v>
      </c>
      <c r="B88" s="748"/>
      <c r="C88" s="748"/>
      <c r="D88" s="748"/>
      <c r="E88" s="748"/>
      <c r="F88" s="748"/>
      <c r="G88" s="748"/>
      <c r="H88" s="748"/>
      <c r="I88" s="748"/>
      <c r="J88" s="157">
        <v>300</v>
      </c>
      <c r="K88" s="158"/>
      <c r="L88" s="157">
        <f t="shared" si="0"/>
        <v>0</v>
      </c>
    </row>
    <row r="89" spans="1:12" ht="21">
      <c r="A89" s="748" t="s">
        <v>285</v>
      </c>
      <c r="B89" s="748"/>
      <c r="C89" s="748"/>
      <c r="D89" s="748"/>
      <c r="E89" s="748"/>
      <c r="F89" s="748"/>
      <c r="G89" s="748"/>
      <c r="H89" s="748"/>
      <c r="I89" s="748"/>
      <c r="J89" s="157">
        <v>50</v>
      </c>
      <c r="K89" s="158"/>
      <c r="L89" s="157">
        <f t="shared" si="0"/>
        <v>0</v>
      </c>
    </row>
    <row r="90" spans="1:12" ht="21">
      <c r="A90" s="748" t="s">
        <v>286</v>
      </c>
      <c r="B90" s="748"/>
      <c r="C90" s="748"/>
      <c r="D90" s="748"/>
      <c r="E90" s="748"/>
      <c r="F90" s="748"/>
      <c r="G90" s="748"/>
      <c r="H90" s="748"/>
      <c r="I90" s="748"/>
      <c r="J90" s="157">
        <v>150</v>
      </c>
      <c r="K90" s="158"/>
      <c r="L90" s="157">
        <f t="shared" si="0"/>
        <v>0</v>
      </c>
    </row>
    <row r="91" spans="1:12" ht="21">
      <c r="A91" s="748" t="s">
        <v>287</v>
      </c>
      <c r="B91" s="748"/>
      <c r="C91" s="748"/>
      <c r="D91" s="748"/>
      <c r="E91" s="748"/>
      <c r="F91" s="748"/>
      <c r="G91" s="748"/>
      <c r="H91" s="748"/>
      <c r="I91" s="748"/>
      <c r="J91" s="157">
        <v>300</v>
      </c>
      <c r="K91" s="158"/>
      <c r="L91" s="157">
        <f t="shared" si="0"/>
        <v>0</v>
      </c>
    </row>
    <row r="93" spans="1:12" ht="27" customHeight="1">
      <c r="J93" s="749" t="s">
        <v>288</v>
      </c>
      <c r="K93" s="749"/>
      <c r="L93" s="159">
        <f>SUM(L86:L92)</f>
        <v>0</v>
      </c>
    </row>
  </sheetData>
  <sheetProtection algorithmName="SHA-512" hashValue="Y2ffPQ0Svcjp9tPaUdooQemfkOwC61O6rLkhbh5B5YfyTJhMCDggP0ThiTMlHt2jBtW/o/Sw5P6WoTWdwnHAMQ==" saltValue="nhOFVs9Qjq9rYPCRx0/s6Q==" spinCount="100000" sheet="1" objects="1" scenarios="1"/>
  <mergeCells count="10">
    <mergeCell ref="A88:I88"/>
    <mergeCell ref="A89:I89"/>
    <mergeCell ref="A90:I90"/>
    <mergeCell ref="A91:I91"/>
    <mergeCell ref="J93:K93"/>
    <mergeCell ref="A1:C1"/>
    <mergeCell ref="A81:L83"/>
    <mergeCell ref="A85:I85"/>
    <mergeCell ref="A86:I86"/>
    <mergeCell ref="A87:I87"/>
  </mergeCells>
  <pageMargins left="0.7" right="0.7" top="0.75" bottom="0.75" header="0.3" footer="0.3"/>
  <pageSetup paperSize="9" scale="75"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7"/>
  <dimension ref="A1:C45"/>
  <sheetViews>
    <sheetView topLeftCell="A24" zoomScaleNormal="100" workbookViewId="0">
      <selection activeCell="A24" sqref="A24"/>
    </sheetView>
  </sheetViews>
  <sheetFormatPr defaultColWidth="8.7109375" defaultRowHeight="15"/>
  <cols>
    <col min="1" max="1" width="66.42578125" customWidth="1"/>
    <col min="2" max="3" width="15.42578125" customWidth="1"/>
    <col min="4" max="4" width="21.140625" customWidth="1"/>
    <col min="5" max="5" width="15.42578125" customWidth="1"/>
    <col min="256" max="256" width="66.42578125" customWidth="1"/>
    <col min="257" max="258" width="15.42578125" customWidth="1"/>
    <col min="259" max="259" width="12.140625" customWidth="1"/>
    <col min="260" max="260" width="21.140625" customWidth="1"/>
    <col min="261" max="261" width="15.42578125" customWidth="1"/>
    <col min="512" max="512" width="66.42578125" customWidth="1"/>
    <col min="513" max="514" width="15.42578125" customWidth="1"/>
    <col min="515" max="515" width="12.140625" customWidth="1"/>
    <col min="516" max="516" width="21.140625" customWidth="1"/>
    <col min="517" max="517" width="15.42578125" customWidth="1"/>
    <col min="768" max="768" width="66.42578125" customWidth="1"/>
    <col min="769" max="770" width="15.42578125" customWidth="1"/>
    <col min="771" max="771" width="12.140625" customWidth="1"/>
    <col min="772" max="772" width="21.140625" customWidth="1"/>
    <col min="773" max="773" width="15.42578125" customWidth="1"/>
    <col min="1024" max="1024" width="66.42578125" customWidth="1"/>
    <col min="1025" max="1026" width="15.42578125" customWidth="1"/>
    <col min="1027" max="1027" width="12.140625" customWidth="1"/>
    <col min="1028" max="1028" width="21.140625" customWidth="1"/>
    <col min="1029" max="1029" width="15.42578125" customWidth="1"/>
    <col min="1280" max="1280" width="66.42578125" customWidth="1"/>
    <col min="1281" max="1282" width="15.42578125" customWidth="1"/>
    <col min="1283" max="1283" width="12.140625" customWidth="1"/>
    <col min="1284" max="1284" width="21.140625" customWidth="1"/>
    <col min="1285" max="1285" width="15.42578125" customWidth="1"/>
    <col min="1536" max="1536" width="66.42578125" customWidth="1"/>
    <col min="1537" max="1538" width="15.42578125" customWidth="1"/>
    <col min="1539" max="1539" width="12.140625" customWidth="1"/>
    <col min="1540" max="1540" width="21.140625" customWidth="1"/>
    <col min="1541" max="1541" width="15.42578125" customWidth="1"/>
    <col min="1792" max="1792" width="66.42578125" customWidth="1"/>
    <col min="1793" max="1794" width="15.42578125" customWidth="1"/>
    <col min="1795" max="1795" width="12.140625" customWidth="1"/>
    <col min="1796" max="1796" width="21.140625" customWidth="1"/>
    <col min="1797" max="1797" width="15.42578125" customWidth="1"/>
    <col min="2048" max="2048" width="66.42578125" customWidth="1"/>
    <col min="2049" max="2050" width="15.42578125" customWidth="1"/>
    <col min="2051" max="2051" width="12.140625" customWidth="1"/>
    <col min="2052" max="2052" width="21.140625" customWidth="1"/>
    <col min="2053" max="2053" width="15.42578125" customWidth="1"/>
    <col min="2304" max="2304" width="66.42578125" customWidth="1"/>
    <col min="2305" max="2306" width="15.42578125" customWidth="1"/>
    <col min="2307" max="2307" width="12.140625" customWidth="1"/>
    <col min="2308" max="2308" width="21.140625" customWidth="1"/>
    <col min="2309" max="2309" width="15.42578125" customWidth="1"/>
    <col min="2560" max="2560" width="66.42578125" customWidth="1"/>
    <col min="2561" max="2562" width="15.42578125" customWidth="1"/>
    <col min="2563" max="2563" width="12.140625" customWidth="1"/>
    <col min="2564" max="2564" width="21.140625" customWidth="1"/>
    <col min="2565" max="2565" width="15.42578125" customWidth="1"/>
    <col min="2816" max="2816" width="66.42578125" customWidth="1"/>
    <col min="2817" max="2818" width="15.42578125" customWidth="1"/>
    <col min="2819" max="2819" width="12.140625" customWidth="1"/>
    <col min="2820" max="2820" width="21.140625" customWidth="1"/>
    <col min="2821" max="2821" width="15.42578125" customWidth="1"/>
    <col min="3072" max="3072" width="66.42578125" customWidth="1"/>
    <col min="3073" max="3074" width="15.42578125" customWidth="1"/>
    <col min="3075" max="3075" width="12.140625" customWidth="1"/>
    <col min="3076" max="3076" width="21.140625" customWidth="1"/>
    <col min="3077" max="3077" width="15.42578125" customWidth="1"/>
    <col min="3328" max="3328" width="66.42578125" customWidth="1"/>
    <col min="3329" max="3330" width="15.42578125" customWidth="1"/>
    <col min="3331" max="3331" width="12.140625" customWidth="1"/>
    <col min="3332" max="3332" width="21.140625" customWidth="1"/>
    <col min="3333" max="3333" width="15.42578125" customWidth="1"/>
    <col min="3584" max="3584" width="66.42578125" customWidth="1"/>
    <col min="3585" max="3586" width="15.42578125" customWidth="1"/>
    <col min="3587" max="3587" width="12.140625" customWidth="1"/>
    <col min="3588" max="3588" width="21.140625" customWidth="1"/>
    <col min="3589" max="3589" width="15.42578125" customWidth="1"/>
    <col min="3840" max="3840" width="66.42578125" customWidth="1"/>
    <col min="3841" max="3842" width="15.42578125" customWidth="1"/>
    <col min="3843" max="3843" width="12.140625" customWidth="1"/>
    <col min="3844" max="3844" width="21.140625" customWidth="1"/>
    <col min="3845" max="3845" width="15.42578125" customWidth="1"/>
    <col min="4096" max="4096" width="66.42578125" customWidth="1"/>
    <col min="4097" max="4098" width="15.42578125" customWidth="1"/>
    <col min="4099" max="4099" width="12.140625" customWidth="1"/>
    <col min="4100" max="4100" width="21.140625" customWidth="1"/>
    <col min="4101" max="4101" width="15.42578125" customWidth="1"/>
    <col min="4352" max="4352" width="66.42578125" customWidth="1"/>
    <col min="4353" max="4354" width="15.42578125" customWidth="1"/>
    <col min="4355" max="4355" width="12.140625" customWidth="1"/>
    <col min="4356" max="4356" width="21.140625" customWidth="1"/>
    <col min="4357" max="4357" width="15.42578125" customWidth="1"/>
    <col min="4608" max="4608" width="66.42578125" customWidth="1"/>
    <col min="4609" max="4610" width="15.42578125" customWidth="1"/>
    <col min="4611" max="4611" width="12.140625" customWidth="1"/>
    <col min="4612" max="4612" width="21.140625" customWidth="1"/>
    <col min="4613" max="4613" width="15.42578125" customWidth="1"/>
    <col min="4864" max="4864" width="66.42578125" customWidth="1"/>
    <col min="4865" max="4866" width="15.42578125" customWidth="1"/>
    <col min="4867" max="4867" width="12.140625" customWidth="1"/>
    <col min="4868" max="4868" width="21.140625" customWidth="1"/>
    <col min="4869" max="4869" width="15.42578125" customWidth="1"/>
    <col min="5120" max="5120" width="66.42578125" customWidth="1"/>
    <col min="5121" max="5122" width="15.42578125" customWidth="1"/>
    <col min="5123" max="5123" width="12.140625" customWidth="1"/>
    <col min="5124" max="5124" width="21.140625" customWidth="1"/>
    <col min="5125" max="5125" width="15.42578125" customWidth="1"/>
    <col min="5376" max="5376" width="66.42578125" customWidth="1"/>
    <col min="5377" max="5378" width="15.42578125" customWidth="1"/>
    <col min="5379" max="5379" width="12.140625" customWidth="1"/>
    <col min="5380" max="5380" width="21.140625" customWidth="1"/>
    <col min="5381" max="5381" width="15.42578125" customWidth="1"/>
    <col min="5632" max="5632" width="66.42578125" customWidth="1"/>
    <col min="5633" max="5634" width="15.42578125" customWidth="1"/>
    <col min="5635" max="5635" width="12.140625" customWidth="1"/>
    <col min="5636" max="5636" width="21.140625" customWidth="1"/>
    <col min="5637" max="5637" width="15.42578125" customWidth="1"/>
    <col min="5888" max="5888" width="66.42578125" customWidth="1"/>
    <col min="5889" max="5890" width="15.42578125" customWidth="1"/>
    <col min="5891" max="5891" width="12.140625" customWidth="1"/>
    <col min="5892" max="5892" width="21.140625" customWidth="1"/>
    <col min="5893" max="5893" width="15.42578125" customWidth="1"/>
    <col min="6144" max="6144" width="66.42578125" customWidth="1"/>
    <col min="6145" max="6146" width="15.42578125" customWidth="1"/>
    <col min="6147" max="6147" width="12.140625" customWidth="1"/>
    <col min="6148" max="6148" width="21.140625" customWidth="1"/>
    <col min="6149" max="6149" width="15.42578125" customWidth="1"/>
    <col min="6400" max="6400" width="66.42578125" customWidth="1"/>
    <col min="6401" max="6402" width="15.42578125" customWidth="1"/>
    <col min="6403" max="6403" width="12.140625" customWidth="1"/>
    <col min="6404" max="6404" width="21.140625" customWidth="1"/>
    <col min="6405" max="6405" width="15.42578125" customWidth="1"/>
    <col min="6656" max="6656" width="66.42578125" customWidth="1"/>
    <col min="6657" max="6658" width="15.42578125" customWidth="1"/>
    <col min="6659" max="6659" width="12.140625" customWidth="1"/>
    <col min="6660" max="6660" width="21.140625" customWidth="1"/>
    <col min="6661" max="6661" width="15.42578125" customWidth="1"/>
    <col min="6912" max="6912" width="66.42578125" customWidth="1"/>
    <col min="6913" max="6914" width="15.42578125" customWidth="1"/>
    <col min="6915" max="6915" width="12.140625" customWidth="1"/>
    <col min="6916" max="6916" width="21.140625" customWidth="1"/>
    <col min="6917" max="6917" width="15.42578125" customWidth="1"/>
    <col min="7168" max="7168" width="66.42578125" customWidth="1"/>
    <col min="7169" max="7170" width="15.42578125" customWidth="1"/>
    <col min="7171" max="7171" width="12.140625" customWidth="1"/>
    <col min="7172" max="7172" width="21.140625" customWidth="1"/>
    <col min="7173" max="7173" width="15.42578125" customWidth="1"/>
    <col min="7424" max="7424" width="66.42578125" customWidth="1"/>
    <col min="7425" max="7426" width="15.42578125" customWidth="1"/>
    <col min="7427" max="7427" width="12.140625" customWidth="1"/>
    <col min="7428" max="7428" width="21.140625" customWidth="1"/>
    <col min="7429" max="7429" width="15.42578125" customWidth="1"/>
    <col min="7680" max="7680" width="66.42578125" customWidth="1"/>
    <col min="7681" max="7682" width="15.42578125" customWidth="1"/>
    <col min="7683" max="7683" width="12.140625" customWidth="1"/>
    <col min="7684" max="7684" width="21.140625" customWidth="1"/>
    <col min="7685" max="7685" width="15.42578125" customWidth="1"/>
    <col min="7936" max="7936" width="66.42578125" customWidth="1"/>
    <col min="7937" max="7938" width="15.42578125" customWidth="1"/>
    <col min="7939" max="7939" width="12.140625" customWidth="1"/>
    <col min="7940" max="7940" width="21.140625" customWidth="1"/>
    <col min="7941" max="7941" width="15.42578125" customWidth="1"/>
    <col min="8192" max="8192" width="66.42578125" customWidth="1"/>
    <col min="8193" max="8194" width="15.42578125" customWidth="1"/>
    <col min="8195" max="8195" width="12.140625" customWidth="1"/>
    <col min="8196" max="8196" width="21.140625" customWidth="1"/>
    <col min="8197" max="8197" width="15.42578125" customWidth="1"/>
    <col min="8448" max="8448" width="66.42578125" customWidth="1"/>
    <col min="8449" max="8450" width="15.42578125" customWidth="1"/>
    <col min="8451" max="8451" width="12.140625" customWidth="1"/>
    <col min="8452" max="8452" width="21.140625" customWidth="1"/>
    <col min="8453" max="8453" width="15.42578125" customWidth="1"/>
    <col min="8704" max="8704" width="66.42578125" customWidth="1"/>
    <col min="8705" max="8706" width="15.42578125" customWidth="1"/>
    <col min="8707" max="8707" width="12.140625" customWidth="1"/>
    <col min="8708" max="8708" width="21.140625" customWidth="1"/>
    <col min="8709" max="8709" width="15.42578125" customWidth="1"/>
    <col min="8960" max="8960" width="66.42578125" customWidth="1"/>
    <col min="8961" max="8962" width="15.42578125" customWidth="1"/>
    <col min="8963" max="8963" width="12.140625" customWidth="1"/>
    <col min="8964" max="8964" width="21.140625" customWidth="1"/>
    <col min="8965" max="8965" width="15.42578125" customWidth="1"/>
    <col min="9216" max="9216" width="66.42578125" customWidth="1"/>
    <col min="9217" max="9218" width="15.42578125" customWidth="1"/>
    <col min="9219" max="9219" width="12.140625" customWidth="1"/>
    <col min="9220" max="9220" width="21.140625" customWidth="1"/>
    <col min="9221" max="9221" width="15.42578125" customWidth="1"/>
    <col min="9472" max="9472" width="66.42578125" customWidth="1"/>
    <col min="9473" max="9474" width="15.42578125" customWidth="1"/>
    <col min="9475" max="9475" width="12.140625" customWidth="1"/>
    <col min="9476" max="9476" width="21.140625" customWidth="1"/>
    <col min="9477" max="9477" width="15.42578125" customWidth="1"/>
    <col min="9728" max="9728" width="66.42578125" customWidth="1"/>
    <col min="9729" max="9730" width="15.42578125" customWidth="1"/>
    <col min="9731" max="9731" width="12.140625" customWidth="1"/>
    <col min="9732" max="9732" width="21.140625" customWidth="1"/>
    <col min="9733" max="9733" width="15.42578125" customWidth="1"/>
    <col min="9984" max="9984" width="66.42578125" customWidth="1"/>
    <col min="9985" max="9986" width="15.42578125" customWidth="1"/>
    <col min="9987" max="9987" width="12.140625" customWidth="1"/>
    <col min="9988" max="9988" width="21.140625" customWidth="1"/>
    <col min="9989" max="9989" width="15.42578125" customWidth="1"/>
    <col min="10240" max="10240" width="66.42578125" customWidth="1"/>
    <col min="10241" max="10242" width="15.42578125" customWidth="1"/>
    <col min="10243" max="10243" width="12.140625" customWidth="1"/>
    <col min="10244" max="10244" width="21.140625" customWidth="1"/>
    <col min="10245" max="10245" width="15.42578125" customWidth="1"/>
    <col min="10496" max="10496" width="66.42578125" customWidth="1"/>
    <col min="10497" max="10498" width="15.42578125" customWidth="1"/>
    <col min="10499" max="10499" width="12.140625" customWidth="1"/>
    <col min="10500" max="10500" width="21.140625" customWidth="1"/>
    <col min="10501" max="10501" width="15.42578125" customWidth="1"/>
    <col min="10752" max="10752" width="66.42578125" customWidth="1"/>
    <col min="10753" max="10754" width="15.42578125" customWidth="1"/>
    <col min="10755" max="10755" width="12.140625" customWidth="1"/>
    <col min="10756" max="10756" width="21.140625" customWidth="1"/>
    <col min="10757" max="10757" width="15.42578125" customWidth="1"/>
    <col min="11008" max="11008" width="66.42578125" customWidth="1"/>
    <col min="11009" max="11010" width="15.42578125" customWidth="1"/>
    <col min="11011" max="11011" width="12.140625" customWidth="1"/>
    <col min="11012" max="11012" width="21.140625" customWidth="1"/>
    <col min="11013" max="11013" width="15.42578125" customWidth="1"/>
    <col min="11264" max="11264" width="66.42578125" customWidth="1"/>
    <col min="11265" max="11266" width="15.42578125" customWidth="1"/>
    <col min="11267" max="11267" width="12.140625" customWidth="1"/>
    <col min="11268" max="11268" width="21.140625" customWidth="1"/>
    <col min="11269" max="11269" width="15.42578125" customWidth="1"/>
    <col min="11520" max="11520" width="66.42578125" customWidth="1"/>
    <col min="11521" max="11522" width="15.42578125" customWidth="1"/>
    <col min="11523" max="11523" width="12.140625" customWidth="1"/>
    <col min="11524" max="11524" width="21.140625" customWidth="1"/>
    <col min="11525" max="11525" width="15.42578125" customWidth="1"/>
    <col min="11776" max="11776" width="66.42578125" customWidth="1"/>
    <col min="11777" max="11778" width="15.42578125" customWidth="1"/>
    <col min="11779" max="11779" width="12.140625" customWidth="1"/>
    <col min="11780" max="11780" width="21.140625" customWidth="1"/>
    <col min="11781" max="11781" width="15.42578125" customWidth="1"/>
    <col min="12032" max="12032" width="66.42578125" customWidth="1"/>
    <col min="12033" max="12034" width="15.42578125" customWidth="1"/>
    <col min="12035" max="12035" width="12.140625" customWidth="1"/>
    <col min="12036" max="12036" width="21.140625" customWidth="1"/>
    <col min="12037" max="12037" width="15.42578125" customWidth="1"/>
    <col min="12288" max="12288" width="66.42578125" customWidth="1"/>
    <col min="12289" max="12290" width="15.42578125" customWidth="1"/>
    <col min="12291" max="12291" width="12.140625" customWidth="1"/>
    <col min="12292" max="12292" width="21.140625" customWidth="1"/>
    <col min="12293" max="12293" width="15.42578125" customWidth="1"/>
    <col min="12544" max="12544" width="66.42578125" customWidth="1"/>
    <col min="12545" max="12546" width="15.42578125" customWidth="1"/>
    <col min="12547" max="12547" width="12.140625" customWidth="1"/>
    <col min="12548" max="12548" width="21.140625" customWidth="1"/>
    <col min="12549" max="12549" width="15.42578125" customWidth="1"/>
    <col min="12800" max="12800" width="66.42578125" customWidth="1"/>
    <col min="12801" max="12802" width="15.42578125" customWidth="1"/>
    <col min="12803" max="12803" width="12.140625" customWidth="1"/>
    <col min="12804" max="12804" width="21.140625" customWidth="1"/>
    <col min="12805" max="12805" width="15.42578125" customWidth="1"/>
    <col min="13056" max="13056" width="66.42578125" customWidth="1"/>
    <col min="13057" max="13058" width="15.42578125" customWidth="1"/>
    <col min="13059" max="13059" width="12.140625" customWidth="1"/>
    <col min="13060" max="13060" width="21.140625" customWidth="1"/>
    <col min="13061" max="13061" width="15.42578125" customWidth="1"/>
    <col min="13312" max="13312" width="66.42578125" customWidth="1"/>
    <col min="13313" max="13314" width="15.42578125" customWidth="1"/>
    <col min="13315" max="13315" width="12.140625" customWidth="1"/>
    <col min="13316" max="13316" width="21.140625" customWidth="1"/>
    <col min="13317" max="13317" width="15.42578125" customWidth="1"/>
    <col min="13568" max="13568" width="66.42578125" customWidth="1"/>
    <col min="13569" max="13570" width="15.42578125" customWidth="1"/>
    <col min="13571" max="13571" width="12.140625" customWidth="1"/>
    <col min="13572" max="13572" width="21.140625" customWidth="1"/>
    <col min="13573" max="13573" width="15.42578125" customWidth="1"/>
    <col min="13824" max="13824" width="66.42578125" customWidth="1"/>
    <col min="13825" max="13826" width="15.42578125" customWidth="1"/>
    <col min="13827" max="13827" width="12.140625" customWidth="1"/>
    <col min="13828" max="13828" width="21.140625" customWidth="1"/>
    <col min="13829" max="13829" width="15.42578125" customWidth="1"/>
    <col min="14080" max="14080" width="66.42578125" customWidth="1"/>
    <col min="14081" max="14082" width="15.42578125" customWidth="1"/>
    <col min="14083" max="14083" width="12.140625" customWidth="1"/>
    <col min="14084" max="14084" width="21.140625" customWidth="1"/>
    <col min="14085" max="14085" width="15.42578125" customWidth="1"/>
    <col min="14336" max="14336" width="66.42578125" customWidth="1"/>
    <col min="14337" max="14338" width="15.42578125" customWidth="1"/>
    <col min="14339" max="14339" width="12.140625" customWidth="1"/>
    <col min="14340" max="14340" width="21.140625" customWidth="1"/>
    <col min="14341" max="14341" width="15.42578125" customWidth="1"/>
    <col min="14592" max="14592" width="66.42578125" customWidth="1"/>
    <col min="14593" max="14594" width="15.42578125" customWidth="1"/>
    <col min="14595" max="14595" width="12.140625" customWidth="1"/>
    <col min="14596" max="14596" width="21.140625" customWidth="1"/>
    <col min="14597" max="14597" width="15.42578125" customWidth="1"/>
    <col min="14848" max="14848" width="66.42578125" customWidth="1"/>
    <col min="14849" max="14850" width="15.42578125" customWidth="1"/>
    <col min="14851" max="14851" width="12.140625" customWidth="1"/>
    <col min="14852" max="14852" width="21.140625" customWidth="1"/>
    <col min="14853" max="14853" width="15.42578125" customWidth="1"/>
    <col min="15104" max="15104" width="66.42578125" customWidth="1"/>
    <col min="15105" max="15106" width="15.42578125" customWidth="1"/>
    <col min="15107" max="15107" width="12.140625" customWidth="1"/>
    <col min="15108" max="15108" width="21.140625" customWidth="1"/>
    <col min="15109" max="15109" width="15.42578125" customWidth="1"/>
    <col min="15360" max="15360" width="66.42578125" customWidth="1"/>
    <col min="15361" max="15362" width="15.42578125" customWidth="1"/>
    <col min="15363" max="15363" width="12.140625" customWidth="1"/>
    <col min="15364" max="15364" width="21.140625" customWidth="1"/>
    <col min="15365" max="15365" width="15.42578125" customWidth="1"/>
    <col min="15616" max="15616" width="66.42578125" customWidth="1"/>
    <col min="15617" max="15618" width="15.42578125" customWidth="1"/>
    <col min="15619" max="15619" width="12.140625" customWidth="1"/>
    <col min="15620" max="15620" width="21.140625" customWidth="1"/>
    <col min="15621" max="15621" width="15.42578125" customWidth="1"/>
    <col min="15872" max="15872" width="66.42578125" customWidth="1"/>
    <col min="15873" max="15874" width="15.42578125" customWidth="1"/>
    <col min="15875" max="15875" width="12.140625" customWidth="1"/>
    <col min="15876" max="15876" width="21.140625" customWidth="1"/>
    <col min="15877" max="15877" width="15.42578125" customWidth="1"/>
    <col min="16128" max="16128" width="66.42578125" customWidth="1"/>
    <col min="16129" max="16130" width="15.42578125" customWidth="1"/>
    <col min="16131" max="16131" width="12.140625" customWidth="1"/>
    <col min="16132" max="16132" width="21.140625" customWidth="1"/>
    <col min="16133" max="16133" width="15.42578125" customWidth="1"/>
  </cols>
  <sheetData>
    <row r="1" spans="1:3" s="135" customFormat="1" ht="30" hidden="1" customHeight="1">
      <c r="A1" s="745" t="s">
        <v>266</v>
      </c>
      <c r="B1" s="745"/>
      <c r="C1" s="745"/>
    </row>
    <row r="2" spans="1:3" hidden="1">
      <c r="A2" s="28" t="s">
        <v>73</v>
      </c>
      <c r="B2" s="22" t="s">
        <v>145</v>
      </c>
      <c r="C2" s="31" t="s">
        <v>74</v>
      </c>
    </row>
    <row r="3" spans="1:3" ht="15" hidden="1" customHeight="1">
      <c r="A3" s="29" t="s">
        <v>75</v>
      </c>
      <c r="B3" s="36"/>
      <c r="C3" s="38"/>
    </row>
    <row r="4" spans="1:3" ht="15" hidden="1" customHeight="1">
      <c r="A4" s="32" t="s">
        <v>76</v>
      </c>
      <c r="B4" s="138">
        <v>4.4640000000000004</v>
      </c>
      <c r="C4" s="26"/>
    </row>
    <row r="5" spans="1:3" ht="15" hidden="1" customHeight="1">
      <c r="A5" s="37" t="s">
        <v>77</v>
      </c>
      <c r="B5" s="136">
        <v>4.8479999999999999</v>
      </c>
      <c r="C5" s="27"/>
    </row>
    <row r="6" spans="1:3" ht="15" hidden="1" customHeight="1">
      <c r="A6" s="32" t="s">
        <v>248</v>
      </c>
      <c r="B6" s="138">
        <v>5.3568000000000007</v>
      </c>
      <c r="C6" s="26"/>
    </row>
    <row r="7" spans="1:3" ht="15" hidden="1" customHeight="1">
      <c r="A7" s="37" t="s">
        <v>249</v>
      </c>
      <c r="B7" s="138">
        <v>5.8175999999999997</v>
      </c>
      <c r="C7" s="26"/>
    </row>
    <row r="8" spans="1:3" ht="15" hidden="1" customHeight="1">
      <c r="A8" s="29" t="s">
        <v>78</v>
      </c>
      <c r="B8" s="143"/>
      <c r="C8" s="39"/>
    </row>
    <row r="9" spans="1:3" ht="15" hidden="1" customHeight="1">
      <c r="A9" s="24" t="s">
        <v>250</v>
      </c>
      <c r="B9" s="138">
        <v>3.6</v>
      </c>
      <c r="C9" s="26"/>
    </row>
    <row r="10" spans="1:3" ht="15" hidden="1" customHeight="1">
      <c r="A10" s="24" t="s">
        <v>251</v>
      </c>
      <c r="B10" s="138">
        <v>4.2699999999999996</v>
      </c>
      <c r="C10" s="26"/>
    </row>
    <row r="11" spans="1:3" ht="15" hidden="1" customHeight="1">
      <c r="A11" s="24" t="s">
        <v>252</v>
      </c>
      <c r="B11" s="138">
        <v>4.5199999999999996</v>
      </c>
      <c r="C11" s="26"/>
    </row>
    <row r="12" spans="1:3" ht="15" hidden="1" customHeight="1">
      <c r="A12" s="24" t="s">
        <v>253</v>
      </c>
      <c r="B12" s="138">
        <v>5.03</v>
      </c>
      <c r="C12" s="26"/>
    </row>
    <row r="13" spans="1:3" ht="15" hidden="1" customHeight="1">
      <c r="A13" s="24" t="s">
        <v>255</v>
      </c>
      <c r="B13" s="138">
        <v>0.5</v>
      </c>
      <c r="C13" s="26"/>
    </row>
    <row r="14" spans="1:3" ht="15" hidden="1" customHeight="1">
      <c r="A14" s="24" t="s">
        <v>254</v>
      </c>
      <c r="B14" s="138">
        <v>1.9239999999999999</v>
      </c>
      <c r="C14" s="26"/>
    </row>
    <row r="15" spans="1:3" ht="15" hidden="1" customHeight="1">
      <c r="A15" s="24" t="s">
        <v>79</v>
      </c>
      <c r="B15" s="138">
        <v>0.14000000000000001</v>
      </c>
      <c r="C15" s="26"/>
    </row>
    <row r="16" spans="1:3" ht="15" hidden="1" customHeight="1">
      <c r="A16" s="24" t="s">
        <v>257</v>
      </c>
      <c r="B16" s="138">
        <v>0.5</v>
      </c>
      <c r="C16" s="26"/>
    </row>
    <row r="17" spans="1:3" ht="15" hidden="1" customHeight="1" thickBot="1">
      <c r="A17" s="30" t="s">
        <v>80</v>
      </c>
      <c r="B17" s="136">
        <v>0.28000000000000003</v>
      </c>
      <c r="C17" s="26"/>
    </row>
    <row r="18" spans="1:3" ht="15" hidden="1" customHeight="1">
      <c r="A18" s="15"/>
      <c r="B18" s="16"/>
      <c r="C18" s="141">
        <f>SUMPRODUCT(B4:B17,C4:C17)</f>
        <v>0</v>
      </c>
    </row>
    <row r="19" spans="1:3" ht="15" hidden="1" customHeight="1" thickBot="1">
      <c r="A19" s="134" t="s">
        <v>267</v>
      </c>
      <c r="B19" s="145"/>
      <c r="C19" s="144">
        <f>B19*C18</f>
        <v>0</v>
      </c>
    </row>
    <row r="20" spans="1:3" ht="15" hidden="1" customHeight="1">
      <c r="A20" s="15"/>
      <c r="B20" s="16"/>
      <c r="C20" s="137"/>
    </row>
    <row r="21" spans="1:3" ht="15" hidden="1" customHeight="1">
      <c r="A21" s="15" t="s">
        <v>143</v>
      </c>
      <c r="B21" s="17"/>
      <c r="C21" s="17"/>
    </row>
    <row r="22" spans="1:3" ht="15" hidden="1" customHeight="1">
      <c r="A22" s="18" t="s">
        <v>256</v>
      </c>
      <c r="B22" s="17"/>
      <c r="C22" s="17"/>
    </row>
    <row r="23" spans="1:3" hidden="1">
      <c r="A23" s="17"/>
      <c r="B23" s="17"/>
      <c r="C23" s="17"/>
    </row>
    <row r="24" spans="1:3">
      <c r="A24" s="17"/>
      <c r="B24" s="17"/>
      <c r="C24" s="17"/>
    </row>
    <row r="25" spans="1:3" ht="15" customHeight="1">
      <c r="A25" s="29" t="s">
        <v>75</v>
      </c>
      <c r="B25" s="36"/>
      <c r="C25" s="38"/>
    </row>
    <row r="26" spans="1:3" ht="15" customHeight="1">
      <c r="A26" s="32" t="s">
        <v>76</v>
      </c>
      <c r="B26" s="160">
        <v>4.4640000000000004</v>
      </c>
      <c r="C26" s="26"/>
    </row>
    <row r="27" spans="1:3" ht="15" customHeight="1">
      <c r="A27" s="37" t="s">
        <v>77</v>
      </c>
      <c r="B27" s="152">
        <v>4.8479999999999999</v>
      </c>
      <c r="C27" s="27"/>
    </row>
    <row r="28" spans="1:3" ht="15" customHeight="1">
      <c r="A28" s="32" t="s">
        <v>248</v>
      </c>
      <c r="B28" s="160">
        <v>5.3568000000000007</v>
      </c>
      <c r="C28" s="26"/>
    </row>
    <row r="29" spans="1:3" ht="15" customHeight="1">
      <c r="A29" s="37" t="s">
        <v>249</v>
      </c>
      <c r="B29" s="160">
        <v>5.8175999999999997</v>
      </c>
      <c r="C29" s="26"/>
    </row>
    <row r="30" spans="1:3" ht="15" customHeight="1">
      <c r="A30" s="29" t="s">
        <v>78</v>
      </c>
      <c r="B30" s="161"/>
      <c r="C30" s="39"/>
    </row>
    <row r="31" spans="1:3" ht="15" customHeight="1">
      <c r="A31" s="24" t="s">
        <v>250</v>
      </c>
      <c r="B31" s="160">
        <v>3.6</v>
      </c>
      <c r="C31" s="26"/>
    </row>
    <row r="32" spans="1:3" ht="15" customHeight="1">
      <c r="A32" s="24" t="s">
        <v>251</v>
      </c>
      <c r="B32" s="160">
        <v>4.2699999999999996</v>
      </c>
      <c r="C32" s="26"/>
    </row>
    <row r="33" spans="1:3" ht="15" customHeight="1">
      <c r="A33" s="24" t="s">
        <v>252</v>
      </c>
      <c r="B33" s="160">
        <v>4.5199999999999996</v>
      </c>
      <c r="C33" s="26"/>
    </row>
    <row r="34" spans="1:3" ht="15" customHeight="1">
      <c r="A34" s="24" t="s">
        <v>253</v>
      </c>
      <c r="B34" s="160">
        <v>5.03</v>
      </c>
      <c r="C34" s="26"/>
    </row>
    <row r="35" spans="1:3" ht="15" customHeight="1">
      <c r="A35" s="24" t="s">
        <v>255</v>
      </c>
      <c r="B35" s="160">
        <v>0.5</v>
      </c>
      <c r="C35" s="26"/>
    </row>
    <row r="36" spans="1:3" ht="15" customHeight="1">
      <c r="A36" s="24" t="s">
        <v>254</v>
      </c>
      <c r="B36" s="160">
        <v>1.9239999999999999</v>
      </c>
      <c r="C36" s="26"/>
    </row>
    <row r="37" spans="1:3" ht="15" customHeight="1">
      <c r="A37" s="24" t="s">
        <v>79</v>
      </c>
      <c r="B37" s="160">
        <v>0.14000000000000001</v>
      </c>
      <c r="C37" s="26"/>
    </row>
    <row r="38" spans="1:3" ht="15" customHeight="1">
      <c r="A38" s="24" t="s">
        <v>257</v>
      </c>
      <c r="B38" s="160">
        <v>0.5</v>
      </c>
      <c r="C38" s="26"/>
    </row>
    <row r="39" spans="1:3" ht="15" customHeight="1">
      <c r="A39" s="30" t="s">
        <v>80</v>
      </c>
      <c r="B39" s="152">
        <v>0.28000000000000003</v>
      </c>
      <c r="C39" s="27"/>
    </row>
    <row r="40" spans="1:3" ht="15" customHeight="1">
      <c r="A40" s="15"/>
      <c r="B40" s="16"/>
      <c r="C40" s="162">
        <f>SUMPRODUCT(B26:B39,C26:C39)</f>
        <v>0</v>
      </c>
    </row>
    <row r="41" spans="1:3" ht="15" customHeight="1">
      <c r="A41" s="15" t="s">
        <v>143</v>
      </c>
      <c r="B41" s="17"/>
      <c r="C41" s="17"/>
    </row>
    <row r="42" spans="1:3" ht="15" customHeight="1">
      <c r="A42" s="18" t="s">
        <v>256</v>
      </c>
      <c r="B42" s="17"/>
      <c r="C42" s="17"/>
    </row>
    <row r="43" spans="1:3">
      <c r="A43" s="17"/>
      <c r="B43" s="17"/>
      <c r="C43" s="17"/>
    </row>
    <row r="44" spans="1:3">
      <c r="A44" s="17"/>
      <c r="B44" s="17"/>
      <c r="C44" s="17"/>
    </row>
    <row r="45" spans="1:3">
      <c r="A45" s="17"/>
    </row>
  </sheetData>
  <sheetProtection algorithmName="SHA-512" hashValue="s9caG8hdTCjMW7RogJO3n1jAHCbjMYCifoJ9r7YnpW3M8B0v/OQZx0tz3cBcvPLWom7nrukKUOnK0drNV7xquw==" saltValue="3gxpWRynEfCmg8PHcCyO7w==" spinCount="100000" sheet="1" objects="1" scenarios="1"/>
  <mergeCells count="1">
    <mergeCell ref="A1:C1"/>
  </mergeCells>
  <pageMargins left="0.7" right="0.7" top="0.75" bottom="0.75" header="0.3" footer="0.3"/>
  <pageSetup paperSize="9" scale="8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11"/>
  <dimension ref="A1:AN60"/>
  <sheetViews>
    <sheetView zoomScale="55" zoomScaleNormal="55" workbookViewId="0">
      <selection activeCell="V51" sqref="V51"/>
    </sheetView>
  </sheetViews>
  <sheetFormatPr defaultColWidth="8.85546875" defaultRowHeight="15"/>
  <cols>
    <col min="4" max="4" width="13.140625" customWidth="1"/>
    <col min="8" max="8" width="12.140625" customWidth="1"/>
    <col min="12" max="12" width="17.85546875" customWidth="1"/>
    <col min="16" max="16" width="13.140625" customWidth="1"/>
    <col min="17" max="17" width="14.42578125" customWidth="1"/>
  </cols>
  <sheetData>
    <row r="1" spans="1:40">
      <c r="A1" s="750" t="s">
        <v>156</v>
      </c>
      <c r="B1" s="751"/>
      <c r="C1" s="751"/>
      <c r="D1" s="751"/>
      <c r="E1" s="751"/>
      <c r="F1" s="751"/>
      <c r="G1" s="751"/>
      <c r="H1" s="751"/>
      <c r="I1" s="751"/>
      <c r="J1" s="751"/>
      <c r="K1" s="751"/>
      <c r="L1" s="751"/>
      <c r="M1" s="751"/>
      <c r="N1" s="751"/>
      <c r="O1" s="751"/>
      <c r="P1" s="751"/>
      <c r="Q1" s="751"/>
      <c r="R1" s="751"/>
      <c r="S1" s="751"/>
      <c r="T1" s="751"/>
      <c r="U1" s="751"/>
      <c r="V1" s="751"/>
      <c r="W1" s="751"/>
      <c r="X1" s="751"/>
      <c r="Y1" s="751"/>
      <c r="Z1" s="751"/>
      <c r="AA1" s="751"/>
      <c r="AB1" s="751"/>
      <c r="AC1" s="751"/>
      <c r="AD1" s="751"/>
      <c r="AE1" s="751"/>
      <c r="AF1" s="751"/>
      <c r="AG1" s="751"/>
      <c r="AH1" s="751"/>
      <c r="AI1" s="751"/>
      <c r="AJ1" s="751"/>
      <c r="AK1" s="751"/>
      <c r="AL1" s="751"/>
      <c r="AM1" s="751"/>
      <c r="AN1" s="752"/>
    </row>
    <row r="2" spans="1:40">
      <c r="A2" s="83" t="s">
        <v>149</v>
      </c>
      <c r="B2" s="50"/>
      <c r="C2" s="50"/>
      <c r="D2" s="54"/>
      <c r="E2" s="81" t="s">
        <v>150</v>
      </c>
      <c r="F2" s="50"/>
      <c r="G2" s="50"/>
      <c r="H2" s="54"/>
      <c r="I2" s="81" t="s">
        <v>151</v>
      </c>
      <c r="J2" s="50"/>
      <c r="K2" s="50"/>
      <c r="L2" s="54"/>
      <c r="M2" s="82" t="s">
        <v>430</v>
      </c>
      <c r="N2" s="50"/>
      <c r="O2" s="50"/>
      <c r="P2" s="84"/>
      <c r="Q2" s="82" t="s">
        <v>431</v>
      </c>
      <c r="R2" s="50"/>
      <c r="S2" s="50"/>
      <c r="T2" s="84"/>
      <c r="U2" s="82" t="s">
        <v>431</v>
      </c>
      <c r="V2" s="50"/>
      <c r="W2" s="50"/>
      <c r="X2" s="84"/>
      <c r="Y2" s="81" t="s">
        <v>152</v>
      </c>
      <c r="Z2" s="50"/>
      <c r="AA2" s="50"/>
      <c r="AB2" s="54"/>
      <c r="AC2" s="82" t="s">
        <v>153</v>
      </c>
      <c r="AD2" s="50"/>
      <c r="AE2" s="50"/>
      <c r="AF2" s="54"/>
      <c r="AG2" s="82" t="s">
        <v>154</v>
      </c>
      <c r="AH2" s="50"/>
      <c r="AI2" s="50"/>
      <c r="AJ2" s="54"/>
      <c r="AK2" s="81" t="s">
        <v>155</v>
      </c>
      <c r="AL2" s="50"/>
      <c r="AM2" s="50"/>
      <c r="AN2" s="84"/>
    </row>
    <row r="3" spans="1:40">
      <c r="A3" s="85" t="s">
        <v>148</v>
      </c>
      <c r="B3" s="469"/>
      <c r="C3" s="469"/>
      <c r="D3" s="44"/>
      <c r="E3" s="43" t="s">
        <v>133</v>
      </c>
      <c r="F3" s="469"/>
      <c r="G3" s="469"/>
      <c r="H3" s="44"/>
      <c r="I3" s="43" t="s">
        <v>148</v>
      </c>
      <c r="J3" s="469"/>
      <c r="K3" s="469"/>
      <c r="L3" s="44"/>
      <c r="M3" s="469" t="s">
        <v>433</v>
      </c>
      <c r="N3" s="469"/>
      <c r="O3" s="469"/>
      <c r="P3" s="86"/>
      <c r="Q3" s="469" t="s">
        <v>148</v>
      </c>
      <c r="R3" s="469"/>
      <c r="S3" s="469"/>
      <c r="T3" s="86"/>
      <c r="U3" s="469" t="s">
        <v>133</v>
      </c>
      <c r="V3" s="469"/>
      <c r="W3" s="469"/>
      <c r="X3" s="86"/>
      <c r="Y3" s="43" t="s">
        <v>148</v>
      </c>
      <c r="Z3" s="469"/>
      <c r="AA3" s="469"/>
      <c r="AB3" s="44"/>
      <c r="AC3" s="469" t="s">
        <v>148</v>
      </c>
      <c r="AD3" s="469"/>
      <c r="AE3" s="469"/>
      <c r="AF3" s="44"/>
      <c r="AG3" s="469" t="s">
        <v>148</v>
      </c>
      <c r="AH3" s="469"/>
      <c r="AI3" s="469"/>
      <c r="AJ3" s="44"/>
      <c r="AK3" s="43" t="s">
        <v>148</v>
      </c>
      <c r="AL3" s="469"/>
      <c r="AM3" s="469"/>
      <c r="AN3" s="86"/>
    </row>
    <row r="4" spans="1:40">
      <c r="A4" s="85"/>
      <c r="B4" s="469"/>
      <c r="C4" s="469"/>
      <c r="D4" s="44"/>
      <c r="E4" s="43"/>
      <c r="F4" s="469"/>
      <c r="G4" s="469"/>
      <c r="H4" s="44"/>
      <c r="I4" s="43"/>
      <c r="J4" s="469"/>
      <c r="K4" s="469"/>
      <c r="L4" s="44"/>
      <c r="M4" s="43"/>
      <c r="N4" s="469"/>
      <c r="O4" s="469"/>
      <c r="P4" s="86"/>
      <c r="Q4" s="43"/>
      <c r="R4" s="469"/>
      <c r="S4" s="469"/>
      <c r="T4" s="86"/>
      <c r="U4" s="43"/>
      <c r="V4" s="469"/>
      <c r="W4" s="469"/>
      <c r="X4" s="86"/>
      <c r="Y4" s="43"/>
      <c r="Z4" s="469"/>
      <c r="AA4" s="469"/>
      <c r="AB4" s="44"/>
      <c r="AC4" s="43"/>
      <c r="AD4" s="469"/>
      <c r="AE4" s="469"/>
      <c r="AF4" s="44"/>
      <c r="AG4" s="43"/>
      <c r="AH4" s="469"/>
      <c r="AI4" s="469"/>
      <c r="AJ4" s="44"/>
      <c r="AK4" s="43"/>
      <c r="AL4" s="469"/>
      <c r="AM4" s="469"/>
      <c r="AN4" s="86"/>
    </row>
    <row r="5" spans="1:40">
      <c r="A5" s="85"/>
      <c r="B5" s="469"/>
      <c r="C5" s="469"/>
      <c r="D5" s="44"/>
      <c r="E5" s="43"/>
      <c r="F5" s="469"/>
      <c r="G5" s="469"/>
      <c r="H5" s="44"/>
      <c r="I5" s="43"/>
      <c r="J5" s="469"/>
      <c r="K5" s="469"/>
      <c r="L5" s="44"/>
      <c r="M5" s="43"/>
      <c r="N5" s="469"/>
      <c r="O5" s="469"/>
      <c r="P5" s="86"/>
      <c r="Q5" s="43"/>
      <c r="R5" s="469"/>
      <c r="S5" s="469"/>
      <c r="T5" s="86"/>
      <c r="U5" s="43"/>
      <c r="V5" s="469"/>
      <c r="W5" s="469"/>
      <c r="X5" s="86"/>
      <c r="Y5" s="43"/>
      <c r="Z5" s="469"/>
      <c r="AA5" s="469"/>
      <c r="AB5" s="44"/>
      <c r="AC5" s="43"/>
      <c r="AD5" s="469"/>
      <c r="AE5" s="469"/>
      <c r="AF5" s="44"/>
      <c r="AG5" s="43"/>
      <c r="AH5" s="469"/>
      <c r="AI5" s="469"/>
      <c r="AJ5" s="44"/>
      <c r="AK5" s="43"/>
      <c r="AL5" s="469"/>
      <c r="AM5" s="469"/>
      <c r="AN5" s="86"/>
    </row>
    <row r="6" spans="1:40">
      <c r="A6" s="85"/>
      <c r="B6" s="469"/>
      <c r="C6" s="469"/>
      <c r="D6" s="44"/>
      <c r="E6" s="43"/>
      <c r="F6" s="469"/>
      <c r="G6" s="469"/>
      <c r="H6" s="44"/>
      <c r="I6" s="43"/>
      <c r="J6" s="469"/>
      <c r="K6" s="469"/>
      <c r="L6" s="44"/>
      <c r="M6" s="43"/>
      <c r="N6" s="469"/>
      <c r="O6" s="469"/>
      <c r="P6" s="86"/>
      <c r="Q6" s="43"/>
      <c r="R6" s="469"/>
      <c r="S6" s="469"/>
      <c r="T6" s="86"/>
      <c r="U6" s="43"/>
      <c r="V6" s="469"/>
      <c r="W6" s="469"/>
      <c r="X6" s="86"/>
      <c r="Y6" s="43"/>
      <c r="Z6" s="469"/>
      <c r="AA6" s="469"/>
      <c r="AB6" s="44"/>
      <c r="AC6" s="43"/>
      <c r="AD6" s="469"/>
      <c r="AE6" s="469"/>
      <c r="AF6" s="44"/>
      <c r="AG6" s="43"/>
      <c r="AH6" s="469"/>
      <c r="AI6" s="469"/>
      <c r="AJ6" s="44"/>
      <c r="AK6" s="43"/>
      <c r="AL6" s="469"/>
      <c r="AM6" s="469"/>
      <c r="AN6" s="86"/>
    </row>
    <row r="7" spans="1:40">
      <c r="A7" s="85"/>
      <c r="B7" s="469"/>
      <c r="C7" s="469"/>
      <c r="D7" s="44"/>
      <c r="E7" s="43"/>
      <c r="F7" s="469"/>
      <c r="G7" s="469"/>
      <c r="H7" s="44"/>
      <c r="I7" s="43"/>
      <c r="J7" s="469"/>
      <c r="K7" s="469"/>
      <c r="L7" s="44"/>
      <c r="M7" s="43"/>
      <c r="N7" s="469"/>
      <c r="O7" s="469"/>
      <c r="P7" s="86"/>
      <c r="Q7" s="43"/>
      <c r="R7" s="469"/>
      <c r="S7" s="469"/>
      <c r="T7" s="86"/>
      <c r="U7" s="43"/>
      <c r="V7" s="469"/>
      <c r="W7" s="469"/>
      <c r="X7" s="86"/>
      <c r="Y7" s="43"/>
      <c r="Z7" s="469"/>
      <c r="AA7" s="469"/>
      <c r="AB7" s="44"/>
      <c r="AC7" s="43"/>
      <c r="AD7" s="469"/>
      <c r="AE7" s="469"/>
      <c r="AF7" s="44"/>
      <c r="AG7" s="43"/>
      <c r="AH7" s="469"/>
      <c r="AI7" s="469"/>
      <c r="AJ7" s="44"/>
      <c r="AK7" s="43"/>
      <c r="AL7" s="469"/>
      <c r="AM7" s="469"/>
      <c r="AN7" s="86"/>
    </row>
    <row r="8" spans="1:40">
      <c r="A8" s="85"/>
      <c r="B8" s="469"/>
      <c r="C8" s="469"/>
      <c r="D8" s="44"/>
      <c r="E8" s="43"/>
      <c r="F8" s="469"/>
      <c r="G8" s="469"/>
      <c r="H8" s="44"/>
      <c r="I8" s="43"/>
      <c r="J8" s="469"/>
      <c r="K8" s="469"/>
      <c r="L8" s="44"/>
      <c r="M8" s="43"/>
      <c r="N8" s="469"/>
      <c r="O8" s="469"/>
      <c r="P8" s="86"/>
      <c r="Q8" s="43"/>
      <c r="R8" s="469"/>
      <c r="S8" s="469"/>
      <c r="T8" s="86"/>
      <c r="U8" s="43"/>
      <c r="V8" s="469"/>
      <c r="W8" s="469"/>
      <c r="X8" s="86"/>
      <c r="Y8" s="43"/>
      <c r="Z8" s="469"/>
      <c r="AA8" s="469"/>
      <c r="AB8" s="44"/>
      <c r="AC8" s="43"/>
      <c r="AD8" s="469"/>
      <c r="AE8" s="469"/>
      <c r="AF8" s="44"/>
      <c r="AG8" s="43"/>
      <c r="AH8" s="469"/>
      <c r="AI8" s="469"/>
      <c r="AJ8" s="44"/>
      <c r="AK8" s="43"/>
      <c r="AL8" s="469"/>
      <c r="AM8" s="469"/>
      <c r="AN8" s="86"/>
    </row>
    <row r="9" spans="1:40">
      <c r="A9" s="85"/>
      <c r="B9" s="469"/>
      <c r="C9" s="469"/>
      <c r="D9" s="44"/>
      <c r="E9" s="43"/>
      <c r="F9" s="469"/>
      <c r="G9" s="469"/>
      <c r="H9" s="44"/>
      <c r="I9" s="43"/>
      <c r="J9" s="469"/>
      <c r="K9" s="469"/>
      <c r="L9" s="44"/>
      <c r="M9" s="43"/>
      <c r="N9" s="469"/>
      <c r="O9" s="469"/>
      <c r="P9" s="86"/>
      <c r="Q9" s="43"/>
      <c r="R9" s="469"/>
      <c r="S9" s="469"/>
      <c r="T9" s="86"/>
      <c r="U9" s="43"/>
      <c r="V9" s="469"/>
      <c r="W9" s="469"/>
      <c r="X9" s="86"/>
      <c r="Y9" s="43"/>
      <c r="Z9" s="469"/>
      <c r="AA9" s="469"/>
      <c r="AB9" s="44"/>
      <c r="AC9" s="43"/>
      <c r="AD9" s="469"/>
      <c r="AE9" s="469"/>
      <c r="AF9" s="44"/>
      <c r="AG9" s="43"/>
      <c r="AH9" s="469"/>
      <c r="AI9" s="469"/>
      <c r="AJ9" s="44"/>
      <c r="AK9" s="43"/>
      <c r="AL9" s="469"/>
      <c r="AM9" s="469"/>
      <c r="AN9" s="86"/>
    </row>
    <row r="10" spans="1:40">
      <c r="A10" s="85"/>
      <c r="B10" s="469"/>
      <c r="C10" s="469"/>
      <c r="D10" s="44"/>
      <c r="E10" s="43"/>
      <c r="F10" s="469"/>
      <c r="G10" s="469"/>
      <c r="H10" s="44"/>
      <c r="I10" s="43"/>
      <c r="J10" s="469"/>
      <c r="K10" s="469"/>
      <c r="L10" s="44"/>
      <c r="M10" s="43"/>
      <c r="N10" s="469"/>
      <c r="O10" s="469"/>
      <c r="P10" s="86"/>
      <c r="Q10" s="43"/>
      <c r="R10" s="469"/>
      <c r="S10" s="469"/>
      <c r="T10" s="86"/>
      <c r="U10" s="43"/>
      <c r="V10" s="469"/>
      <c r="W10" s="469"/>
      <c r="X10" s="86"/>
      <c r="Y10" s="43"/>
      <c r="Z10" s="469"/>
      <c r="AA10" s="469"/>
      <c r="AB10" s="44"/>
      <c r="AC10" s="43"/>
      <c r="AD10" s="469"/>
      <c r="AE10" s="469"/>
      <c r="AF10" s="44"/>
      <c r="AG10" s="43"/>
      <c r="AH10" s="469"/>
      <c r="AI10" s="469"/>
      <c r="AJ10" s="44"/>
      <c r="AK10" s="43"/>
      <c r="AL10" s="469"/>
      <c r="AM10" s="469"/>
      <c r="AN10" s="86"/>
    </row>
    <row r="11" spans="1:40">
      <c r="A11" s="85"/>
      <c r="B11" s="469"/>
      <c r="C11" s="469"/>
      <c r="D11" s="44"/>
      <c r="E11" s="43"/>
      <c r="F11" s="469"/>
      <c r="G11" s="469"/>
      <c r="H11" s="44"/>
      <c r="I11" s="43"/>
      <c r="J11" s="469"/>
      <c r="K11" s="469"/>
      <c r="L11" s="44"/>
      <c r="M11" s="470" t="s">
        <v>432</v>
      </c>
      <c r="N11" s="469"/>
      <c r="O11" s="469"/>
      <c r="P11" s="86"/>
      <c r="Q11" s="470"/>
      <c r="R11" s="469"/>
      <c r="S11" s="469"/>
      <c r="T11" s="86"/>
      <c r="U11" s="470"/>
      <c r="V11" s="469"/>
      <c r="W11" s="469"/>
      <c r="X11" s="86"/>
      <c r="Y11" s="43"/>
      <c r="Z11" s="469"/>
      <c r="AA11" s="469"/>
      <c r="AB11" s="44"/>
      <c r="AC11" s="43"/>
      <c r="AD11" s="469"/>
      <c r="AE11" s="469"/>
      <c r="AF11" s="44"/>
      <c r="AG11" s="43"/>
      <c r="AH11" s="469"/>
      <c r="AI11" s="469"/>
      <c r="AJ11" s="44"/>
      <c r="AK11" s="43"/>
      <c r="AL11" s="469"/>
      <c r="AM11" s="469"/>
      <c r="AN11" s="86"/>
    </row>
    <row r="12" spans="1:40" ht="15.75" thickBot="1">
      <c r="A12" s="87"/>
      <c r="B12" s="47"/>
      <c r="C12" s="47"/>
      <c r="D12" s="48"/>
      <c r="E12" s="46"/>
      <c r="F12" s="47"/>
      <c r="G12" s="47"/>
      <c r="H12" s="48"/>
      <c r="I12" s="46"/>
      <c r="J12" s="47"/>
      <c r="K12" s="47"/>
      <c r="L12" s="48"/>
      <c r="M12" s="46"/>
      <c r="N12" s="47"/>
      <c r="O12" s="47"/>
      <c r="P12" s="88"/>
      <c r="Q12" s="46"/>
      <c r="R12" s="47"/>
      <c r="S12" s="47"/>
      <c r="T12" s="88"/>
      <c r="U12" s="46"/>
      <c r="V12" s="47"/>
      <c r="W12" s="47"/>
      <c r="X12" s="88"/>
      <c r="Y12" s="46"/>
      <c r="Z12" s="47"/>
      <c r="AA12" s="47"/>
      <c r="AB12" s="48"/>
      <c r="AC12" s="46"/>
      <c r="AD12" s="47"/>
      <c r="AE12" s="47"/>
      <c r="AF12" s="48"/>
      <c r="AG12" s="46"/>
      <c r="AH12" s="47"/>
      <c r="AI12" s="47"/>
      <c r="AJ12" s="48"/>
      <c r="AK12" s="46"/>
      <c r="AL12" s="47"/>
      <c r="AM12" s="47"/>
      <c r="AN12" s="88"/>
    </row>
    <row r="13" spans="1:40" ht="15.75" thickBot="1"/>
    <row r="14" spans="1:40">
      <c r="A14" s="750" t="s">
        <v>158</v>
      </c>
      <c r="B14" s="751"/>
      <c r="C14" s="751"/>
      <c r="D14" s="751"/>
      <c r="E14" s="751"/>
      <c r="F14" s="751"/>
      <c r="G14" s="751"/>
      <c r="H14" s="751"/>
      <c r="I14" s="751"/>
      <c r="J14" s="751"/>
      <c r="K14" s="751"/>
      <c r="L14" s="751"/>
      <c r="M14" s="751"/>
      <c r="N14" s="751"/>
      <c r="O14" s="751"/>
      <c r="P14" s="752"/>
      <c r="U14" s="750" t="s">
        <v>439</v>
      </c>
      <c r="V14" s="751"/>
      <c r="W14" s="751"/>
      <c r="X14" s="751"/>
      <c r="Y14" s="751"/>
      <c r="Z14" s="751"/>
      <c r="AA14" s="751"/>
      <c r="AB14" s="752"/>
      <c r="AC14" s="751" t="s">
        <v>434</v>
      </c>
      <c r="AD14" s="751"/>
      <c r="AE14" s="751"/>
      <c r="AF14" s="751"/>
      <c r="AG14" s="751"/>
      <c r="AH14" s="751"/>
      <c r="AI14" s="751"/>
      <c r="AJ14" s="752"/>
    </row>
    <row r="15" spans="1:40">
      <c r="A15" s="90" t="s">
        <v>161</v>
      </c>
      <c r="D15" s="44"/>
      <c r="E15" s="25" t="s">
        <v>160</v>
      </c>
      <c r="H15" s="44"/>
      <c r="I15" s="25" t="s">
        <v>159</v>
      </c>
      <c r="M15" s="89" t="s">
        <v>162</v>
      </c>
      <c r="N15" s="50"/>
      <c r="O15" s="50"/>
      <c r="P15" s="84"/>
      <c r="U15" s="83" t="s">
        <v>440</v>
      </c>
      <c r="V15" s="50"/>
      <c r="W15" s="50"/>
      <c r="X15" s="54"/>
      <c r="Y15" s="81" t="s">
        <v>440</v>
      </c>
      <c r="Z15" s="50"/>
      <c r="AA15" s="50"/>
      <c r="AB15" s="84"/>
      <c r="AC15" s="82" t="s">
        <v>435</v>
      </c>
      <c r="AD15" s="50"/>
      <c r="AE15" s="50"/>
      <c r="AF15" s="54"/>
      <c r="AG15" s="25" t="s">
        <v>435</v>
      </c>
      <c r="AH15" s="469"/>
      <c r="AI15" s="469"/>
      <c r="AJ15" s="86"/>
    </row>
    <row r="16" spans="1:40">
      <c r="A16" s="85" t="s">
        <v>148</v>
      </c>
      <c r="D16" s="44"/>
      <c r="E16" s="43" t="s">
        <v>148</v>
      </c>
      <c r="H16" s="44"/>
      <c r="I16" s="43" t="s">
        <v>148</v>
      </c>
      <c r="M16" s="43" t="s">
        <v>148</v>
      </c>
      <c r="P16" s="86"/>
      <c r="U16" s="85" t="s">
        <v>133</v>
      </c>
      <c r="V16" s="469"/>
      <c r="W16" s="469"/>
      <c r="X16" s="44"/>
      <c r="Y16" s="43" t="s">
        <v>148</v>
      </c>
      <c r="Z16" s="469"/>
      <c r="AA16" s="469"/>
      <c r="AB16" s="86"/>
      <c r="AC16" s="469" t="s">
        <v>133</v>
      </c>
      <c r="AD16" s="469"/>
      <c r="AE16" s="469"/>
      <c r="AF16" s="44"/>
      <c r="AG16" s="43" t="s">
        <v>436</v>
      </c>
      <c r="AH16" s="469"/>
      <c r="AI16" s="469"/>
      <c r="AJ16" s="86"/>
    </row>
    <row r="17" spans="1:36">
      <c r="A17" s="85"/>
      <c r="D17" s="44"/>
      <c r="E17" s="43"/>
      <c r="H17" s="44"/>
      <c r="I17" s="43"/>
      <c r="M17" s="43"/>
      <c r="P17" s="86"/>
      <c r="U17" s="85"/>
      <c r="V17" s="469"/>
      <c r="W17" s="469"/>
      <c r="X17" s="44"/>
      <c r="Y17" s="43"/>
      <c r="Z17" s="469"/>
      <c r="AA17" s="469"/>
      <c r="AB17" s="86"/>
      <c r="AC17" s="469"/>
      <c r="AD17" s="469"/>
      <c r="AE17" s="469"/>
      <c r="AF17" s="44"/>
      <c r="AG17" s="43"/>
      <c r="AH17" s="469"/>
      <c r="AI17" s="469"/>
      <c r="AJ17" s="86"/>
    </row>
    <row r="18" spans="1:36">
      <c r="A18" s="85"/>
      <c r="D18" s="44"/>
      <c r="E18" s="43"/>
      <c r="H18" s="44"/>
      <c r="I18" s="43"/>
      <c r="M18" s="43"/>
      <c r="P18" s="86"/>
      <c r="U18" s="85"/>
      <c r="V18" s="469"/>
      <c r="W18" s="469"/>
      <c r="X18" s="44"/>
      <c r="Y18" s="43"/>
      <c r="Z18" s="469"/>
      <c r="AA18" s="469"/>
      <c r="AB18" s="86"/>
      <c r="AC18" s="469"/>
      <c r="AD18" s="469"/>
      <c r="AE18" s="469"/>
      <c r="AF18" s="44"/>
      <c r="AG18" s="43"/>
      <c r="AH18" s="469"/>
      <c r="AI18" s="469"/>
      <c r="AJ18" s="86"/>
    </row>
    <row r="19" spans="1:36">
      <c r="A19" s="85"/>
      <c r="D19" s="44"/>
      <c r="E19" s="43"/>
      <c r="H19" s="44"/>
      <c r="I19" s="43"/>
      <c r="M19" s="43"/>
      <c r="P19" s="86"/>
      <c r="U19" s="85"/>
      <c r="V19" s="469"/>
      <c r="W19" s="469"/>
      <c r="X19" s="44"/>
      <c r="Y19" s="43"/>
      <c r="Z19" s="469"/>
      <c r="AA19" s="469"/>
      <c r="AB19" s="86"/>
      <c r="AC19" s="469"/>
      <c r="AD19" s="469"/>
      <c r="AE19" s="469"/>
      <c r="AF19" s="44"/>
      <c r="AG19" s="43"/>
      <c r="AH19" s="469"/>
      <c r="AI19" s="469"/>
      <c r="AJ19" s="86"/>
    </row>
    <row r="20" spans="1:36">
      <c r="A20" s="85"/>
      <c r="D20" s="44"/>
      <c r="E20" s="43"/>
      <c r="H20" s="44"/>
      <c r="I20" s="43"/>
      <c r="M20" s="43"/>
      <c r="P20" s="86"/>
      <c r="U20" s="85"/>
      <c r="V20" s="469"/>
      <c r="W20" s="469"/>
      <c r="X20" s="44"/>
      <c r="Y20" s="43"/>
      <c r="Z20" s="469"/>
      <c r="AA20" s="469"/>
      <c r="AB20" s="86"/>
      <c r="AC20" s="469"/>
      <c r="AD20" s="469"/>
      <c r="AE20" s="469"/>
      <c r="AF20" s="44"/>
      <c r="AG20" s="43"/>
      <c r="AH20" s="469"/>
      <c r="AI20" s="469"/>
      <c r="AJ20" s="86"/>
    </row>
    <row r="21" spans="1:36">
      <c r="A21" s="85"/>
      <c r="D21" s="44"/>
      <c r="E21" s="43"/>
      <c r="H21" s="44"/>
      <c r="I21" s="43"/>
      <c r="M21" s="43"/>
      <c r="P21" s="86"/>
      <c r="U21" s="85"/>
      <c r="V21" s="469"/>
      <c r="W21" s="469"/>
      <c r="X21" s="44"/>
      <c r="Y21" s="43"/>
      <c r="Z21" s="469"/>
      <c r="AA21" s="469"/>
      <c r="AB21" s="86"/>
      <c r="AC21" s="469"/>
      <c r="AD21" s="469"/>
      <c r="AE21" s="469"/>
      <c r="AF21" s="44"/>
      <c r="AG21" s="43"/>
      <c r="AH21" s="469"/>
      <c r="AI21" s="469"/>
      <c r="AJ21" s="86"/>
    </row>
    <row r="22" spans="1:36">
      <c r="A22" s="85"/>
      <c r="D22" s="44"/>
      <c r="E22" s="43"/>
      <c r="H22" s="44"/>
      <c r="I22" s="43"/>
      <c r="M22" s="43"/>
      <c r="P22" s="86"/>
      <c r="U22" s="85"/>
      <c r="V22" s="469"/>
      <c r="W22" s="469"/>
      <c r="X22" s="44"/>
      <c r="Y22" s="43"/>
      <c r="Z22" s="469"/>
      <c r="AA22" s="469"/>
      <c r="AB22" s="86"/>
      <c r="AC22" s="469"/>
      <c r="AD22" s="469"/>
      <c r="AE22" s="469"/>
      <c r="AF22" s="44"/>
      <c r="AG22" s="43"/>
      <c r="AH22" s="469"/>
      <c r="AI22" s="469"/>
      <c r="AJ22" s="86"/>
    </row>
    <row r="23" spans="1:36">
      <c r="A23" s="85"/>
      <c r="D23" s="44"/>
      <c r="E23" s="43"/>
      <c r="H23" s="44"/>
      <c r="I23" s="43"/>
      <c r="M23" s="43"/>
      <c r="P23" s="86"/>
      <c r="U23" s="85"/>
      <c r="V23" s="469"/>
      <c r="W23" s="469"/>
      <c r="X23" s="44"/>
      <c r="Y23" s="43"/>
      <c r="Z23" s="469"/>
      <c r="AA23" s="469"/>
      <c r="AB23" s="86"/>
      <c r="AC23" s="469"/>
      <c r="AD23" s="469"/>
      <c r="AE23" s="469"/>
      <c r="AF23" s="44"/>
      <c r="AG23" s="43"/>
      <c r="AH23" s="469"/>
      <c r="AI23" s="469"/>
      <c r="AJ23" s="86"/>
    </row>
    <row r="24" spans="1:36">
      <c r="A24" s="85"/>
      <c r="D24" s="44"/>
      <c r="E24" s="43"/>
      <c r="H24" s="44"/>
      <c r="I24" s="43"/>
      <c r="M24" s="43"/>
      <c r="P24" s="86"/>
      <c r="U24" s="85"/>
      <c r="V24" s="469"/>
      <c r="W24" s="469"/>
      <c r="X24" s="44"/>
      <c r="Y24" s="43"/>
      <c r="Z24" s="469"/>
      <c r="AA24" s="469"/>
      <c r="AB24" s="86"/>
      <c r="AC24" s="469"/>
      <c r="AD24" s="469"/>
      <c r="AE24" s="469"/>
      <c r="AF24" s="44"/>
      <c r="AG24" s="43"/>
      <c r="AH24" s="469"/>
      <c r="AI24" s="469"/>
      <c r="AJ24" s="86"/>
    </row>
    <row r="25" spans="1:36" ht="15.75" thickBot="1">
      <c r="A25" s="87"/>
      <c r="B25" s="47"/>
      <c r="C25" s="47"/>
      <c r="D25" s="48"/>
      <c r="E25" s="46"/>
      <c r="F25" s="47"/>
      <c r="G25" s="47"/>
      <c r="H25" s="48"/>
      <c r="I25" s="46"/>
      <c r="J25" s="47"/>
      <c r="K25" s="47"/>
      <c r="L25" s="47"/>
      <c r="M25" s="46"/>
      <c r="N25" s="47"/>
      <c r="O25" s="47"/>
      <c r="P25" s="88"/>
      <c r="U25" s="91"/>
      <c r="V25" s="45"/>
      <c r="W25" s="45"/>
      <c r="X25" s="75"/>
      <c r="Y25" s="74"/>
      <c r="Z25" s="45"/>
      <c r="AA25" s="45"/>
      <c r="AB25" s="92"/>
      <c r="AC25" s="47"/>
      <c r="AD25" s="47"/>
      <c r="AE25" s="47"/>
      <c r="AF25" s="48"/>
      <c r="AG25" s="46"/>
      <c r="AH25" s="47"/>
      <c r="AI25" s="47"/>
      <c r="AJ25" s="88"/>
    </row>
    <row r="26" spans="1:36" ht="15.75" thickBot="1">
      <c r="U26" s="83" t="s">
        <v>442</v>
      </c>
      <c r="V26" s="50"/>
      <c r="W26" s="50"/>
      <c r="X26" s="54"/>
      <c r="Y26" s="81" t="s">
        <v>442</v>
      </c>
      <c r="Z26" s="50"/>
      <c r="AA26" s="50"/>
      <c r="AB26" s="84"/>
      <c r="AC26" s="751" t="s">
        <v>437</v>
      </c>
      <c r="AD26" s="751"/>
      <c r="AE26" s="751"/>
      <c r="AF26" s="751"/>
      <c r="AG26" s="751"/>
      <c r="AH26" s="751"/>
      <c r="AI26" s="751"/>
      <c r="AJ26" s="752"/>
    </row>
    <row r="27" spans="1:36">
      <c r="A27" s="750" t="s">
        <v>157</v>
      </c>
      <c r="B27" s="751"/>
      <c r="C27" s="751"/>
      <c r="D27" s="751"/>
      <c r="E27" s="751"/>
      <c r="F27" s="751"/>
      <c r="G27" s="751"/>
      <c r="H27" s="751"/>
      <c r="I27" s="751"/>
      <c r="J27" s="751"/>
      <c r="K27" s="751"/>
      <c r="L27" s="752"/>
      <c r="U27" s="85" t="s">
        <v>441</v>
      </c>
      <c r="V27" s="469"/>
      <c r="W27" s="469"/>
      <c r="X27" s="44"/>
      <c r="Y27" s="43" t="s">
        <v>148</v>
      </c>
      <c r="Z27" s="469"/>
      <c r="AA27" s="469"/>
      <c r="AB27" s="86"/>
      <c r="AC27" s="82" t="s">
        <v>438</v>
      </c>
      <c r="AD27" s="50"/>
      <c r="AE27" s="50"/>
      <c r="AF27" s="54"/>
      <c r="AG27" s="25" t="s">
        <v>438</v>
      </c>
      <c r="AH27" s="469"/>
      <c r="AI27" s="469"/>
      <c r="AJ27" s="86"/>
    </row>
    <row r="28" spans="1:36">
      <c r="A28" s="25" t="s">
        <v>163</v>
      </c>
      <c r="D28" s="44"/>
      <c r="E28" s="25" t="s">
        <v>163</v>
      </c>
      <c r="H28" s="44"/>
      <c r="I28" s="25" t="s">
        <v>164</v>
      </c>
      <c r="L28" s="86"/>
      <c r="U28" s="85"/>
      <c r="V28" s="469"/>
      <c r="W28" s="469"/>
      <c r="X28" s="44"/>
      <c r="Y28" s="43"/>
      <c r="Z28" s="469"/>
      <c r="AA28" s="469"/>
      <c r="AB28" s="86"/>
      <c r="AC28" s="469" t="s">
        <v>133</v>
      </c>
      <c r="AD28" s="469"/>
      <c r="AE28" s="469"/>
      <c r="AF28" s="44"/>
      <c r="AG28" s="43" t="s">
        <v>436</v>
      </c>
      <c r="AH28" s="469"/>
      <c r="AI28" s="469"/>
      <c r="AJ28" s="86"/>
    </row>
    <row r="29" spans="1:36">
      <c r="A29" s="85" t="s">
        <v>148</v>
      </c>
      <c r="D29" s="44"/>
      <c r="E29" s="43" t="s">
        <v>133</v>
      </c>
      <c r="I29" s="43" t="s">
        <v>148</v>
      </c>
      <c r="L29" s="86"/>
      <c r="U29" s="85"/>
      <c r="V29" s="469"/>
      <c r="W29" s="469"/>
      <c r="X29" s="44"/>
      <c r="Y29" s="43"/>
      <c r="Z29" s="469"/>
      <c r="AA29" s="469"/>
      <c r="AB29" s="86"/>
      <c r="AC29" s="469"/>
      <c r="AD29" s="469"/>
      <c r="AE29" s="469"/>
      <c r="AF29" s="44"/>
      <c r="AG29" s="43"/>
      <c r="AH29" s="469"/>
      <c r="AI29" s="469"/>
      <c r="AJ29" s="86"/>
    </row>
    <row r="30" spans="1:36">
      <c r="A30" s="85"/>
      <c r="D30" s="44"/>
      <c r="E30" s="43"/>
      <c r="H30" s="44"/>
      <c r="I30" s="43"/>
      <c r="L30" s="86"/>
      <c r="U30" s="85"/>
      <c r="V30" s="469"/>
      <c r="W30" s="469"/>
      <c r="X30" s="44"/>
      <c r="Y30" s="43"/>
      <c r="Z30" s="469"/>
      <c r="AA30" s="469"/>
      <c r="AB30" s="86"/>
      <c r="AC30" s="469"/>
      <c r="AD30" s="469"/>
      <c r="AE30" s="469"/>
      <c r="AF30" s="44"/>
      <c r="AG30" s="43"/>
      <c r="AH30" s="469"/>
      <c r="AI30" s="469"/>
      <c r="AJ30" s="86"/>
    </row>
    <row r="31" spans="1:36">
      <c r="A31" s="85"/>
      <c r="D31" s="44"/>
      <c r="E31" s="43"/>
      <c r="H31" s="44"/>
      <c r="I31" s="43"/>
      <c r="L31" s="86"/>
      <c r="U31" s="85"/>
      <c r="V31" s="469"/>
      <c r="W31" s="469"/>
      <c r="X31" s="44"/>
      <c r="Y31" s="43"/>
      <c r="Z31" s="469"/>
      <c r="AA31" s="469"/>
      <c r="AB31" s="86"/>
      <c r="AC31" s="469"/>
      <c r="AD31" s="469"/>
      <c r="AE31" s="469"/>
      <c r="AF31" s="44"/>
      <c r="AG31" s="43"/>
      <c r="AH31" s="469"/>
      <c r="AI31" s="469"/>
      <c r="AJ31" s="86"/>
    </row>
    <row r="32" spans="1:36">
      <c r="A32" s="85"/>
      <c r="D32" s="44"/>
      <c r="E32" s="43"/>
      <c r="H32" s="44"/>
      <c r="I32" s="43"/>
      <c r="L32" s="86"/>
      <c r="U32" s="85"/>
      <c r="V32" s="469"/>
      <c r="W32" s="469"/>
      <c r="X32" s="44"/>
      <c r="Y32" s="43"/>
      <c r="Z32" s="469"/>
      <c r="AA32" s="469"/>
      <c r="AB32" s="86"/>
      <c r="AC32" s="469"/>
      <c r="AD32" s="469"/>
      <c r="AE32" s="469"/>
      <c r="AF32" s="44"/>
      <c r="AG32" s="43"/>
      <c r="AH32" s="469"/>
      <c r="AI32" s="469"/>
      <c r="AJ32" s="86"/>
    </row>
    <row r="33" spans="1:36">
      <c r="A33" s="85"/>
      <c r="D33" s="44"/>
      <c r="E33" s="43"/>
      <c r="H33" s="44"/>
      <c r="I33" s="43"/>
      <c r="L33" s="86"/>
      <c r="U33" s="85"/>
      <c r="V33" s="469"/>
      <c r="W33" s="469"/>
      <c r="X33" s="44"/>
      <c r="Y33" s="43"/>
      <c r="Z33" s="469"/>
      <c r="AA33" s="469"/>
      <c r="AB33" s="86"/>
      <c r="AC33" s="469"/>
      <c r="AD33" s="469"/>
      <c r="AE33" s="469"/>
      <c r="AF33" s="44"/>
      <c r="AG33" s="43"/>
      <c r="AH33" s="469"/>
      <c r="AI33" s="469"/>
      <c r="AJ33" s="86"/>
    </row>
    <row r="34" spans="1:36">
      <c r="A34" s="85"/>
      <c r="D34" s="44"/>
      <c r="E34" s="43"/>
      <c r="H34" s="44"/>
      <c r="I34" s="43"/>
      <c r="L34" s="86"/>
      <c r="U34" s="85"/>
      <c r="V34" s="469"/>
      <c r="W34" s="469"/>
      <c r="X34" s="44"/>
      <c r="Y34" s="43"/>
      <c r="Z34" s="469"/>
      <c r="AA34" s="469"/>
      <c r="AB34" s="86"/>
      <c r="AC34" s="469"/>
      <c r="AD34" s="469"/>
      <c r="AE34" s="469"/>
      <c r="AF34" s="44"/>
      <c r="AG34" s="43"/>
      <c r="AH34" s="469"/>
      <c r="AI34" s="469"/>
      <c r="AJ34" s="86"/>
    </row>
    <row r="35" spans="1:36">
      <c r="A35" s="85"/>
      <c r="D35" s="44"/>
      <c r="E35" s="43"/>
      <c r="H35" s="44"/>
      <c r="I35" s="43"/>
      <c r="L35" s="86"/>
      <c r="U35" s="85"/>
      <c r="V35" s="469"/>
      <c r="W35" s="469"/>
      <c r="X35" s="44"/>
      <c r="Y35" s="43"/>
      <c r="Z35" s="469"/>
      <c r="AA35" s="469"/>
      <c r="AB35" s="86"/>
      <c r="AC35" s="469"/>
      <c r="AD35" s="469"/>
      <c r="AE35" s="469"/>
      <c r="AF35" s="44"/>
      <c r="AG35" s="43"/>
      <c r="AH35" s="469"/>
      <c r="AI35" s="469"/>
      <c r="AJ35" s="86"/>
    </row>
    <row r="36" spans="1:36">
      <c r="A36" s="85"/>
      <c r="D36" s="44"/>
      <c r="E36" s="43"/>
      <c r="H36" s="44"/>
      <c r="I36" s="43"/>
      <c r="L36" s="86"/>
      <c r="U36" s="85"/>
      <c r="V36" s="469"/>
      <c r="W36" s="469"/>
      <c r="X36" s="44"/>
      <c r="Y36" s="43"/>
      <c r="Z36" s="469"/>
      <c r="AA36" s="469"/>
      <c r="AB36" s="86"/>
      <c r="AC36" s="469"/>
      <c r="AD36" s="469"/>
      <c r="AE36" s="469"/>
      <c r="AF36" s="44"/>
      <c r="AG36" s="43"/>
      <c r="AH36" s="469"/>
      <c r="AI36" s="469"/>
      <c r="AJ36" s="86"/>
    </row>
    <row r="37" spans="1:36" ht="15.75" thickBot="1">
      <c r="A37" s="85"/>
      <c r="D37" s="44"/>
      <c r="E37" s="43"/>
      <c r="H37" s="44"/>
      <c r="I37" s="43"/>
      <c r="L37" s="86"/>
      <c r="U37" s="87"/>
      <c r="V37" s="47"/>
      <c r="W37" s="47"/>
      <c r="X37" s="48"/>
      <c r="Y37" s="46"/>
      <c r="Z37" s="47"/>
      <c r="AA37" s="47"/>
      <c r="AB37" s="88"/>
      <c r="AC37" s="47"/>
      <c r="AD37" s="47"/>
      <c r="AE37" s="47"/>
      <c r="AF37" s="48"/>
      <c r="AG37" s="46"/>
      <c r="AH37" s="47"/>
      <c r="AI37" s="47"/>
      <c r="AJ37" s="88"/>
    </row>
    <row r="38" spans="1:36">
      <c r="A38" s="91"/>
      <c r="B38" s="45"/>
      <c r="C38" s="45"/>
      <c r="D38" s="75"/>
      <c r="E38" s="74"/>
      <c r="F38" s="45"/>
      <c r="G38" s="45"/>
      <c r="H38" s="75"/>
      <c r="I38" s="74"/>
      <c r="J38" s="45"/>
      <c r="K38" s="45"/>
      <c r="L38" s="92"/>
    </row>
    <row r="39" spans="1:36">
      <c r="A39" s="25" t="s">
        <v>165</v>
      </c>
      <c r="B39" s="50"/>
      <c r="C39" s="50"/>
      <c r="D39" s="54"/>
      <c r="E39" s="25" t="s">
        <v>165</v>
      </c>
      <c r="F39" s="50"/>
      <c r="G39" s="50"/>
      <c r="H39" s="54"/>
      <c r="I39" s="25" t="s">
        <v>166</v>
      </c>
      <c r="J39" s="50"/>
      <c r="K39" s="50"/>
      <c r="L39" s="84"/>
    </row>
    <row r="40" spans="1:36">
      <c r="A40" s="43" t="s">
        <v>148</v>
      </c>
      <c r="D40" s="44"/>
      <c r="E40" s="43" t="s">
        <v>133</v>
      </c>
      <c r="H40" s="44"/>
      <c r="I40" s="43" t="s">
        <v>148</v>
      </c>
      <c r="L40" s="86"/>
    </row>
    <row r="41" spans="1:36">
      <c r="A41" s="85"/>
      <c r="D41" s="44"/>
      <c r="E41" s="43"/>
      <c r="H41" s="44"/>
      <c r="I41" s="43"/>
      <c r="L41" s="86"/>
    </row>
    <row r="42" spans="1:36">
      <c r="A42" s="85"/>
      <c r="D42" s="44"/>
      <c r="E42" s="43"/>
      <c r="H42" s="44"/>
      <c r="I42" s="43"/>
      <c r="L42" s="86"/>
    </row>
    <row r="43" spans="1:36">
      <c r="A43" s="85"/>
      <c r="D43" s="44"/>
      <c r="E43" s="43"/>
      <c r="H43" s="44"/>
      <c r="I43" s="43"/>
      <c r="L43" s="86"/>
    </row>
    <row r="44" spans="1:36">
      <c r="A44" s="85"/>
      <c r="D44" s="44"/>
      <c r="E44" s="43"/>
      <c r="H44" s="44"/>
      <c r="I44" s="43"/>
      <c r="L44" s="86"/>
    </row>
    <row r="45" spans="1:36">
      <c r="A45" s="85"/>
      <c r="D45" s="44"/>
      <c r="E45" s="43"/>
      <c r="H45" s="44"/>
      <c r="I45" s="43"/>
      <c r="L45" s="86"/>
    </row>
    <row r="46" spans="1:36">
      <c r="A46" s="85"/>
      <c r="D46" s="44"/>
      <c r="E46" s="43"/>
      <c r="H46" s="44"/>
      <c r="I46" s="43"/>
      <c r="L46" s="86"/>
    </row>
    <row r="47" spans="1:36">
      <c r="A47" s="85"/>
      <c r="D47" s="44"/>
      <c r="E47" s="43"/>
      <c r="H47" s="44"/>
      <c r="I47" s="43"/>
      <c r="L47" s="86"/>
    </row>
    <row r="48" spans="1:36">
      <c r="A48" s="85"/>
      <c r="D48" s="44"/>
      <c r="E48" s="43"/>
      <c r="H48" s="44"/>
      <c r="I48" s="43"/>
      <c r="L48" s="86"/>
    </row>
    <row r="49" spans="1:12">
      <c r="A49" s="91"/>
      <c r="B49" s="45"/>
      <c r="C49" s="45"/>
      <c r="D49" s="75"/>
      <c r="E49" s="74"/>
      <c r="F49" s="45"/>
      <c r="G49" s="45"/>
      <c r="H49" s="75"/>
      <c r="I49" s="74"/>
      <c r="J49" s="45"/>
      <c r="K49" s="45"/>
      <c r="L49" s="92"/>
    </row>
    <row r="50" spans="1:12">
      <c r="A50" s="25" t="s">
        <v>167</v>
      </c>
      <c r="C50" s="50"/>
      <c r="D50" s="54"/>
      <c r="E50" s="25" t="s">
        <v>167</v>
      </c>
      <c r="G50" s="50"/>
      <c r="H50" s="54"/>
      <c r="I50" s="25" t="s">
        <v>168</v>
      </c>
      <c r="K50" s="50"/>
      <c r="L50" s="84"/>
    </row>
    <row r="51" spans="1:12">
      <c r="A51" s="43" t="s">
        <v>148</v>
      </c>
      <c r="D51" s="44"/>
      <c r="E51" s="43" t="s">
        <v>133</v>
      </c>
      <c r="H51" s="44"/>
      <c r="I51" s="43" t="s">
        <v>148</v>
      </c>
      <c r="L51" s="86"/>
    </row>
    <row r="52" spans="1:12">
      <c r="A52" s="85"/>
      <c r="D52" s="44"/>
      <c r="E52" s="43"/>
      <c r="H52" s="44"/>
      <c r="I52" s="43"/>
      <c r="L52" s="86"/>
    </row>
    <row r="53" spans="1:12">
      <c r="A53" s="85"/>
      <c r="D53" s="44"/>
      <c r="E53" s="43"/>
      <c r="H53" s="44"/>
      <c r="I53" s="43"/>
      <c r="L53" s="86"/>
    </row>
    <row r="54" spans="1:12">
      <c r="A54" s="85"/>
      <c r="D54" s="44"/>
      <c r="E54" s="43"/>
      <c r="H54" s="44"/>
      <c r="I54" s="43"/>
      <c r="L54" s="86"/>
    </row>
    <row r="55" spans="1:12">
      <c r="A55" s="85"/>
      <c r="D55" s="44"/>
      <c r="E55" s="43"/>
      <c r="H55" s="44"/>
      <c r="I55" s="43"/>
      <c r="L55" s="86"/>
    </row>
    <row r="56" spans="1:12">
      <c r="A56" s="85"/>
      <c r="D56" s="44"/>
      <c r="E56" s="43"/>
      <c r="H56" s="44"/>
      <c r="I56" s="43"/>
      <c r="L56" s="86"/>
    </row>
    <row r="57" spans="1:12">
      <c r="A57" s="85"/>
      <c r="D57" s="44"/>
      <c r="E57" s="43"/>
      <c r="H57" s="44"/>
      <c r="I57" s="43"/>
      <c r="L57" s="86"/>
    </row>
    <row r="58" spans="1:12">
      <c r="A58" s="85"/>
      <c r="D58" s="44"/>
      <c r="E58" s="43"/>
      <c r="H58" s="44"/>
      <c r="I58" s="43"/>
      <c r="L58" s="86"/>
    </row>
    <row r="59" spans="1:12">
      <c r="A59" s="85"/>
      <c r="D59" s="44"/>
      <c r="E59" s="43"/>
      <c r="H59" s="44"/>
      <c r="I59" s="43"/>
      <c r="L59" s="86"/>
    </row>
    <row r="60" spans="1:12" ht="15.75" thickBot="1">
      <c r="A60" s="87"/>
      <c r="B60" s="47"/>
      <c r="C60" s="47"/>
      <c r="D60" s="48"/>
      <c r="E60" s="46"/>
      <c r="F60" s="47"/>
      <c r="G60" s="47"/>
      <c r="H60" s="48"/>
      <c r="I60" s="46"/>
      <c r="J60" s="47"/>
      <c r="K60" s="47"/>
      <c r="L60" s="88"/>
    </row>
  </sheetData>
  <sheetProtection algorithmName="SHA-512" hashValue="o1T222bRVj4+/qpn2VaY3+pWFVtPvrwQxAcxuOyiZ7oTzHtfsqV+kG2eX+Zs+hNr1r9O/6rmnz/J1uQB/OR2nw==" saltValue="J22qr8hr50LQ1ZPMOOF6Ng==" spinCount="100000" sheet="1" objects="1" scenarios="1"/>
  <mergeCells count="6">
    <mergeCell ref="A1:AN1"/>
    <mergeCell ref="A27:L27"/>
    <mergeCell ref="A14:P14"/>
    <mergeCell ref="AC14:AJ14"/>
    <mergeCell ref="AC26:AJ26"/>
    <mergeCell ref="U14:AB14"/>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J158"/>
  <sheetViews>
    <sheetView topLeftCell="A58" zoomScale="70" zoomScaleNormal="70" workbookViewId="0">
      <selection activeCell="Z143" sqref="Z143"/>
    </sheetView>
  </sheetViews>
  <sheetFormatPr defaultRowHeight="15"/>
  <sheetData>
    <row r="1" spans="1:36" ht="27">
      <c r="N1" s="759" t="s">
        <v>458</v>
      </c>
      <c r="O1" s="759"/>
      <c r="P1" s="759"/>
      <c r="Q1" s="759"/>
      <c r="R1" s="759"/>
      <c r="S1" s="759"/>
    </row>
    <row r="2" spans="1:36" ht="28.5">
      <c r="J2" s="760" t="s">
        <v>459</v>
      </c>
      <c r="K2" s="760"/>
      <c r="L2" s="760"/>
      <c r="M2" s="760"/>
      <c r="N2" s="760"/>
      <c r="O2" s="760"/>
      <c r="P2" s="760"/>
      <c r="Q2" s="760"/>
      <c r="R2" s="760"/>
      <c r="S2" s="760"/>
      <c r="T2" s="760"/>
      <c r="U2" s="760"/>
      <c r="V2" s="760"/>
      <c r="W2" s="760"/>
    </row>
    <row r="5" spans="1:36" ht="15.75" thickBot="1"/>
    <row r="6" spans="1:36">
      <c r="A6" s="477"/>
      <c r="B6" s="49"/>
      <c r="C6" s="49"/>
      <c r="D6" s="49"/>
      <c r="E6" s="49"/>
      <c r="F6" s="478"/>
      <c r="G6" s="477"/>
      <c r="H6" s="49"/>
      <c r="I6" s="49"/>
      <c r="J6" s="49"/>
      <c r="K6" s="49"/>
      <c r="L6" s="478"/>
      <c r="M6" s="477"/>
      <c r="N6" s="49"/>
      <c r="O6" s="49"/>
      <c r="P6" s="49"/>
      <c r="Q6" s="49"/>
      <c r="R6" s="478"/>
      <c r="S6" s="477"/>
      <c r="T6" s="49"/>
      <c r="U6" s="49"/>
      <c r="V6" s="49"/>
      <c r="W6" s="49"/>
      <c r="X6" s="478"/>
      <c r="Y6" s="477"/>
      <c r="Z6" s="49"/>
      <c r="AA6" s="49"/>
      <c r="AB6" s="49"/>
      <c r="AC6" s="49"/>
      <c r="AD6" s="478"/>
      <c r="AE6" s="477"/>
      <c r="AF6" s="49"/>
      <c r="AG6" s="49"/>
      <c r="AH6" s="49"/>
      <c r="AI6" s="49"/>
      <c r="AJ6" s="478"/>
    </row>
    <row r="7" spans="1:36">
      <c r="A7" s="85"/>
      <c r="B7" s="469"/>
      <c r="C7" s="469"/>
      <c r="D7" s="469"/>
      <c r="E7" s="469"/>
      <c r="F7" s="86"/>
      <c r="G7" s="85"/>
      <c r="H7" s="469"/>
      <c r="I7" s="469"/>
      <c r="J7" s="469"/>
      <c r="K7" s="469"/>
      <c r="L7" s="86"/>
      <c r="M7" s="85"/>
      <c r="N7" s="469"/>
      <c r="O7" s="469"/>
      <c r="P7" s="469"/>
      <c r="Q7" s="469"/>
      <c r="R7" s="86"/>
      <c r="S7" s="85"/>
      <c r="T7" s="469"/>
      <c r="U7" s="469"/>
      <c r="V7" s="469"/>
      <c r="W7" s="469"/>
      <c r="X7" s="86"/>
      <c r="Y7" s="85"/>
      <c r="Z7" s="469"/>
      <c r="AA7" s="469"/>
      <c r="AB7" s="469"/>
      <c r="AC7" s="469"/>
      <c r="AD7" s="86"/>
      <c r="AE7" s="85"/>
      <c r="AF7" s="469"/>
      <c r="AG7" s="469"/>
      <c r="AH7" s="469"/>
      <c r="AI7" s="469"/>
      <c r="AJ7" s="86"/>
    </row>
    <row r="8" spans="1:36">
      <c r="A8" s="85"/>
      <c r="B8" s="469"/>
      <c r="C8" s="469"/>
      <c r="D8" s="469"/>
      <c r="E8" s="469"/>
      <c r="F8" s="86"/>
      <c r="G8" s="85"/>
      <c r="H8" s="469"/>
      <c r="I8" s="469"/>
      <c r="J8" s="469"/>
      <c r="K8" s="469"/>
      <c r="L8" s="86"/>
      <c r="M8" s="85"/>
      <c r="N8" s="469"/>
      <c r="O8" s="469"/>
      <c r="P8" s="469"/>
      <c r="Q8" s="469"/>
      <c r="R8" s="86"/>
      <c r="S8" s="85"/>
      <c r="T8" s="469"/>
      <c r="U8" s="469"/>
      <c r="V8" s="469"/>
      <c r="W8" s="469"/>
      <c r="X8" s="86"/>
      <c r="Y8" s="85"/>
      <c r="Z8" s="469"/>
      <c r="AA8" s="469"/>
      <c r="AB8" s="469"/>
      <c r="AC8" s="469"/>
      <c r="AD8" s="86"/>
      <c r="AE8" s="85"/>
      <c r="AF8" s="469"/>
      <c r="AG8" s="469"/>
      <c r="AH8" s="469"/>
      <c r="AI8" s="469"/>
      <c r="AJ8" s="86"/>
    </row>
    <row r="9" spans="1:36">
      <c r="A9" s="85"/>
      <c r="B9" s="469"/>
      <c r="C9" s="469"/>
      <c r="D9" s="469"/>
      <c r="E9" s="469"/>
      <c r="F9" s="86"/>
      <c r="G9" s="85"/>
      <c r="H9" s="469"/>
      <c r="I9" s="469"/>
      <c r="J9" s="469"/>
      <c r="K9" s="469"/>
      <c r="L9" s="86"/>
      <c r="M9" s="85"/>
      <c r="N9" s="469"/>
      <c r="O9" s="469"/>
      <c r="P9" s="469"/>
      <c r="Q9" s="469"/>
      <c r="R9" s="86"/>
      <c r="S9" s="85"/>
      <c r="T9" s="469"/>
      <c r="U9" s="469"/>
      <c r="V9" s="469"/>
      <c r="W9" s="469"/>
      <c r="X9" s="86"/>
      <c r="Y9" s="85"/>
      <c r="Z9" s="469"/>
      <c r="AA9" s="469"/>
      <c r="AB9" s="469"/>
      <c r="AC9" s="469"/>
      <c r="AD9" s="86"/>
      <c r="AE9" s="85"/>
      <c r="AF9" s="469"/>
      <c r="AG9" s="469"/>
      <c r="AH9" s="469"/>
      <c r="AI9" s="469"/>
      <c r="AJ9" s="86"/>
    </row>
    <row r="10" spans="1:36">
      <c r="A10" s="85"/>
      <c r="B10" s="469"/>
      <c r="C10" s="469"/>
      <c r="D10" s="469"/>
      <c r="E10" s="469"/>
      <c r="F10" s="86"/>
      <c r="G10" s="85"/>
      <c r="H10" s="469"/>
      <c r="I10" s="469"/>
      <c r="J10" s="469"/>
      <c r="K10" s="469"/>
      <c r="L10" s="86"/>
      <c r="M10" s="85"/>
      <c r="N10" s="469"/>
      <c r="O10" s="469"/>
      <c r="P10" s="469"/>
      <c r="Q10" s="469"/>
      <c r="R10" s="86"/>
      <c r="S10" s="85"/>
      <c r="T10" s="469"/>
      <c r="U10" s="469"/>
      <c r="V10" s="469"/>
      <c r="W10" s="469"/>
      <c r="X10" s="86"/>
      <c r="Y10" s="85"/>
      <c r="Z10" s="469"/>
      <c r="AA10" s="469"/>
      <c r="AB10" s="469"/>
      <c r="AC10" s="469"/>
      <c r="AD10" s="86"/>
      <c r="AE10" s="85"/>
      <c r="AF10" s="469"/>
      <c r="AG10" s="469"/>
      <c r="AH10" s="469"/>
      <c r="AI10" s="469"/>
      <c r="AJ10" s="86"/>
    </row>
    <row r="11" spans="1:36">
      <c r="A11" s="85"/>
      <c r="B11" s="469"/>
      <c r="C11" s="469"/>
      <c r="D11" s="469"/>
      <c r="E11" s="469"/>
      <c r="F11" s="86"/>
      <c r="G11" s="85"/>
      <c r="H11" s="469"/>
      <c r="I11" s="469"/>
      <c r="J11" s="469"/>
      <c r="K11" s="469"/>
      <c r="L11" s="86"/>
      <c r="M11" s="85"/>
      <c r="N11" s="469"/>
      <c r="O11" s="469"/>
      <c r="P11" s="469"/>
      <c r="Q11" s="469"/>
      <c r="R11" s="86"/>
      <c r="S11" s="85"/>
      <c r="T11" s="469"/>
      <c r="U11" s="469"/>
      <c r="V11" s="469"/>
      <c r="W11" s="469"/>
      <c r="X11" s="86"/>
      <c r="Y11" s="85"/>
      <c r="Z11" s="469"/>
      <c r="AA11" s="469"/>
      <c r="AB11" s="469"/>
      <c r="AC11" s="469"/>
      <c r="AD11" s="86"/>
      <c r="AE11" s="85"/>
      <c r="AF11" s="469"/>
      <c r="AG11" s="469"/>
      <c r="AH11" s="469"/>
      <c r="AI11" s="469"/>
      <c r="AJ11" s="86"/>
    </row>
    <row r="12" spans="1:36">
      <c r="A12" s="85"/>
      <c r="B12" s="469"/>
      <c r="C12" s="469"/>
      <c r="D12" s="469"/>
      <c r="E12" s="469"/>
      <c r="F12" s="86"/>
      <c r="G12" s="85"/>
      <c r="H12" s="469"/>
      <c r="I12" s="469"/>
      <c r="J12" s="469"/>
      <c r="K12" s="469"/>
      <c r="L12" s="86"/>
      <c r="M12" s="85"/>
      <c r="N12" s="469"/>
      <c r="O12" s="469"/>
      <c r="P12" s="469"/>
      <c r="Q12" s="469"/>
      <c r="R12" s="86"/>
      <c r="S12" s="85"/>
      <c r="T12" s="469"/>
      <c r="U12" s="469"/>
      <c r="V12" s="469"/>
      <c r="W12" s="469"/>
      <c r="X12" s="86"/>
      <c r="Y12" s="85"/>
      <c r="Z12" s="469"/>
      <c r="AA12" s="469"/>
      <c r="AB12" s="469"/>
      <c r="AC12" s="469"/>
      <c r="AD12" s="86"/>
      <c r="AE12" s="85"/>
      <c r="AF12" s="469"/>
      <c r="AG12" s="469"/>
      <c r="AH12" s="469"/>
      <c r="AI12" s="469"/>
      <c r="AJ12" s="86"/>
    </row>
    <row r="13" spans="1:36">
      <c r="A13" s="85"/>
      <c r="B13" s="469"/>
      <c r="C13" s="469"/>
      <c r="D13" s="469"/>
      <c r="E13" s="469"/>
      <c r="F13" s="86"/>
      <c r="G13" s="85"/>
      <c r="H13" s="469"/>
      <c r="I13" s="469"/>
      <c r="J13" s="469"/>
      <c r="K13" s="469"/>
      <c r="L13" s="86"/>
      <c r="M13" s="85"/>
      <c r="N13" s="469"/>
      <c r="O13" s="469"/>
      <c r="P13" s="469"/>
      <c r="Q13" s="469"/>
      <c r="R13" s="86"/>
      <c r="S13" s="85"/>
      <c r="T13" s="469"/>
      <c r="U13" s="469"/>
      <c r="V13" s="469"/>
      <c r="W13" s="469"/>
      <c r="X13" s="86"/>
      <c r="Y13" s="85"/>
      <c r="Z13" s="469"/>
      <c r="AA13" s="469"/>
      <c r="AB13" s="469"/>
      <c r="AC13" s="469"/>
      <c r="AD13" s="86"/>
      <c r="AE13" s="85"/>
      <c r="AF13" s="469"/>
      <c r="AG13" s="469"/>
      <c r="AH13" s="469"/>
      <c r="AI13" s="469"/>
      <c r="AJ13" s="86"/>
    </row>
    <row r="14" spans="1:36">
      <c r="A14" s="85"/>
      <c r="B14" s="469"/>
      <c r="C14" s="469"/>
      <c r="D14" s="469"/>
      <c r="E14" s="469"/>
      <c r="F14" s="86"/>
      <c r="G14" s="85"/>
      <c r="H14" s="469"/>
      <c r="I14" s="469"/>
      <c r="J14" s="469"/>
      <c r="K14" s="469"/>
      <c r="L14" s="86"/>
      <c r="M14" s="85"/>
      <c r="N14" s="469"/>
      <c r="O14" s="469"/>
      <c r="P14" s="469"/>
      <c r="Q14" s="469"/>
      <c r="R14" s="86"/>
      <c r="S14" s="85"/>
      <c r="T14" s="469"/>
      <c r="U14" s="469"/>
      <c r="V14" s="469"/>
      <c r="W14" s="469"/>
      <c r="X14" s="86"/>
      <c r="Y14" s="85"/>
      <c r="Z14" s="469"/>
      <c r="AA14" s="469"/>
      <c r="AB14" s="469"/>
      <c r="AC14" s="469"/>
      <c r="AD14" s="86"/>
      <c r="AE14" s="85"/>
      <c r="AF14" s="469"/>
      <c r="AG14" s="469"/>
      <c r="AH14" s="469"/>
      <c r="AI14" s="469"/>
      <c r="AJ14" s="86"/>
    </row>
    <row r="15" spans="1:36">
      <c r="A15" s="85"/>
      <c r="B15" s="469"/>
      <c r="C15" s="469"/>
      <c r="D15" s="469"/>
      <c r="E15" s="469"/>
      <c r="F15" s="86"/>
      <c r="G15" s="85"/>
      <c r="H15" s="469"/>
      <c r="I15" s="469"/>
      <c r="J15" s="469"/>
      <c r="K15" s="469"/>
      <c r="L15" s="86"/>
      <c r="M15" s="85"/>
      <c r="N15" s="469"/>
      <c r="O15" s="469"/>
      <c r="P15" s="469"/>
      <c r="Q15" s="469"/>
      <c r="R15" s="86"/>
      <c r="S15" s="85"/>
      <c r="T15" s="469"/>
      <c r="U15" s="469"/>
      <c r="V15" s="469"/>
      <c r="W15" s="469"/>
      <c r="X15" s="86"/>
      <c r="Y15" s="85"/>
      <c r="Z15" s="469"/>
      <c r="AA15" s="469"/>
      <c r="AB15" s="469"/>
      <c r="AC15" s="469"/>
      <c r="AD15" s="86"/>
      <c r="AE15" s="85"/>
      <c r="AF15" s="469"/>
      <c r="AG15" s="469"/>
      <c r="AH15" s="469"/>
      <c r="AI15" s="469"/>
      <c r="AJ15" s="86"/>
    </row>
    <row r="16" spans="1:36">
      <c r="A16" s="85"/>
      <c r="B16" s="469"/>
      <c r="C16" s="469"/>
      <c r="D16" s="469"/>
      <c r="E16" s="469"/>
      <c r="F16" s="86"/>
      <c r="G16" s="85"/>
      <c r="H16" s="469"/>
      <c r="I16" s="469"/>
      <c r="J16" s="469"/>
      <c r="K16" s="469"/>
      <c r="L16" s="86"/>
      <c r="M16" s="85"/>
      <c r="N16" s="469"/>
      <c r="O16" s="469"/>
      <c r="P16" s="469"/>
      <c r="Q16" s="469"/>
      <c r="R16" s="86"/>
      <c r="S16" s="85"/>
      <c r="T16" s="469"/>
      <c r="U16" s="469"/>
      <c r="V16" s="469"/>
      <c r="W16" s="469"/>
      <c r="X16" s="86"/>
      <c r="Y16" s="85"/>
      <c r="Z16" s="469"/>
      <c r="AA16" s="469"/>
      <c r="AB16" s="469"/>
      <c r="AC16" s="469"/>
      <c r="AD16" s="86"/>
      <c r="AE16" s="85"/>
      <c r="AF16" s="469"/>
      <c r="AG16" s="469"/>
      <c r="AH16" s="469"/>
      <c r="AI16" s="469"/>
      <c r="AJ16" s="86"/>
    </row>
    <row r="17" spans="1:36">
      <c r="A17" s="85"/>
      <c r="B17" s="469"/>
      <c r="C17" s="469"/>
      <c r="D17" s="469"/>
      <c r="E17" s="469"/>
      <c r="F17" s="86"/>
      <c r="G17" s="85"/>
      <c r="H17" s="469"/>
      <c r="I17" s="469"/>
      <c r="J17" s="469"/>
      <c r="K17" s="469"/>
      <c r="L17" s="86"/>
      <c r="M17" s="85"/>
      <c r="N17" s="469"/>
      <c r="O17" s="469"/>
      <c r="P17" s="469"/>
      <c r="Q17" s="469"/>
      <c r="R17" s="86"/>
      <c r="S17" s="85"/>
      <c r="T17" s="469"/>
      <c r="U17" s="469"/>
      <c r="V17" s="469"/>
      <c r="W17" s="469"/>
      <c r="X17" s="86"/>
      <c r="Y17" s="85"/>
      <c r="Z17" s="469"/>
      <c r="AA17" s="469"/>
      <c r="AB17" s="469"/>
      <c r="AC17" s="469"/>
      <c r="AD17" s="86"/>
      <c r="AE17" s="85"/>
      <c r="AF17" s="469"/>
      <c r="AG17" s="469"/>
      <c r="AH17" s="469"/>
      <c r="AI17" s="469"/>
      <c r="AJ17" s="86"/>
    </row>
    <row r="18" spans="1:36">
      <c r="A18" s="85"/>
      <c r="B18" s="469"/>
      <c r="C18" s="469"/>
      <c r="D18" s="469"/>
      <c r="E18" s="469"/>
      <c r="F18" s="86"/>
      <c r="G18" s="85"/>
      <c r="H18" s="469"/>
      <c r="I18" s="469"/>
      <c r="J18" s="469"/>
      <c r="K18" s="469"/>
      <c r="L18" s="86"/>
      <c r="M18" s="85"/>
      <c r="N18" s="469"/>
      <c r="O18" s="469"/>
      <c r="P18" s="469"/>
      <c r="Q18" s="469"/>
      <c r="R18" s="86"/>
      <c r="S18" s="85"/>
      <c r="T18" s="469"/>
      <c r="U18" s="469"/>
      <c r="V18" s="469"/>
      <c r="W18" s="469"/>
      <c r="X18" s="86"/>
      <c r="Y18" s="85"/>
      <c r="Z18" s="469"/>
      <c r="AA18" s="469"/>
      <c r="AB18" s="469"/>
      <c r="AC18" s="469"/>
      <c r="AD18" s="86"/>
      <c r="AE18" s="85"/>
      <c r="AF18" s="469"/>
      <c r="AG18" s="469"/>
      <c r="AH18" s="469"/>
      <c r="AI18" s="469"/>
      <c r="AJ18" s="86"/>
    </row>
    <row r="19" spans="1:36">
      <c r="A19" s="85"/>
      <c r="B19" s="469"/>
      <c r="C19" s="469"/>
      <c r="D19" s="469"/>
      <c r="E19" s="469"/>
      <c r="F19" s="86"/>
      <c r="G19" s="85"/>
      <c r="H19" s="469"/>
      <c r="I19" s="469"/>
      <c r="J19" s="469"/>
      <c r="K19" s="469"/>
      <c r="L19" s="86"/>
      <c r="M19" s="85"/>
      <c r="N19" s="469"/>
      <c r="O19" s="469"/>
      <c r="P19" s="469"/>
      <c r="Q19" s="469"/>
      <c r="R19" s="86"/>
      <c r="S19" s="85"/>
      <c r="T19" s="469"/>
      <c r="U19" s="469"/>
      <c r="V19" s="469"/>
      <c r="W19" s="469"/>
      <c r="X19" s="86"/>
      <c r="Y19" s="85"/>
      <c r="Z19" s="469"/>
      <c r="AA19" s="469"/>
      <c r="AB19" s="469"/>
      <c r="AC19" s="469"/>
      <c r="AD19" s="86"/>
      <c r="AE19" s="85"/>
      <c r="AF19" s="469"/>
      <c r="AG19" s="469"/>
      <c r="AH19" s="469"/>
      <c r="AI19" s="469"/>
      <c r="AJ19" s="86"/>
    </row>
    <row r="20" spans="1:36">
      <c r="A20" s="85"/>
      <c r="B20" s="469"/>
      <c r="C20" s="469"/>
      <c r="D20" s="469"/>
      <c r="E20" s="469"/>
      <c r="F20" s="86"/>
      <c r="G20" s="85"/>
      <c r="H20" s="469"/>
      <c r="I20" s="469"/>
      <c r="J20" s="469"/>
      <c r="K20" s="469"/>
      <c r="L20" s="86"/>
      <c r="M20" s="85"/>
      <c r="N20" s="469"/>
      <c r="O20" s="469"/>
      <c r="P20" s="469"/>
      <c r="Q20" s="469"/>
      <c r="R20" s="86"/>
      <c r="S20" s="85"/>
      <c r="T20" s="469"/>
      <c r="U20" s="469"/>
      <c r="V20" s="469"/>
      <c r="W20" s="469"/>
      <c r="X20" s="86"/>
      <c r="Y20" s="85"/>
      <c r="Z20" s="469"/>
      <c r="AA20" s="469"/>
      <c r="AB20" s="469"/>
      <c r="AC20" s="469"/>
      <c r="AD20" s="86"/>
      <c r="AE20" s="85"/>
      <c r="AF20" s="469"/>
      <c r="AG20" s="469"/>
      <c r="AH20" s="469"/>
      <c r="AI20" s="469"/>
      <c r="AJ20" s="86"/>
    </row>
    <row r="21" spans="1:36">
      <c r="A21" s="85"/>
      <c r="B21" s="469"/>
      <c r="C21" s="469"/>
      <c r="D21" s="469"/>
      <c r="E21" s="469"/>
      <c r="F21" s="86"/>
      <c r="G21" s="85"/>
      <c r="H21" s="469"/>
      <c r="I21" s="469"/>
      <c r="J21" s="469"/>
      <c r="K21" s="469"/>
      <c r="L21" s="86"/>
      <c r="M21" s="85"/>
      <c r="N21" s="469"/>
      <c r="O21" s="469"/>
      <c r="P21" s="469"/>
      <c r="Q21" s="469"/>
      <c r="R21" s="86"/>
      <c r="S21" s="85"/>
      <c r="T21" s="469"/>
      <c r="U21" s="469"/>
      <c r="V21" s="469"/>
      <c r="W21" s="469"/>
      <c r="X21" s="86"/>
      <c r="Y21" s="85"/>
      <c r="Z21" s="469"/>
      <c r="AA21" s="469"/>
      <c r="AB21" s="469"/>
      <c r="AC21" s="469"/>
      <c r="AD21" s="86"/>
      <c r="AE21" s="85"/>
      <c r="AF21" s="469"/>
      <c r="AG21" s="469"/>
      <c r="AH21" s="469"/>
      <c r="AI21" s="469"/>
      <c r="AJ21" s="86"/>
    </row>
    <row r="22" spans="1:36">
      <c r="A22" s="85"/>
      <c r="B22" s="469"/>
      <c r="C22" s="469"/>
      <c r="D22" s="469"/>
      <c r="E22" s="469"/>
      <c r="F22" s="86"/>
      <c r="G22" s="85"/>
      <c r="H22" s="469"/>
      <c r="I22" s="469"/>
      <c r="J22" s="469"/>
      <c r="K22" s="469"/>
      <c r="L22" s="86"/>
      <c r="M22" s="85"/>
      <c r="N22" s="469"/>
      <c r="O22" s="469"/>
      <c r="P22" s="469"/>
      <c r="Q22" s="469"/>
      <c r="R22" s="86"/>
      <c r="S22" s="85"/>
      <c r="T22" s="469"/>
      <c r="U22" s="469"/>
      <c r="V22" s="469"/>
      <c r="W22" s="469"/>
      <c r="X22" s="86"/>
      <c r="Y22" s="85"/>
      <c r="Z22" s="469"/>
      <c r="AA22" s="469"/>
      <c r="AB22" s="469"/>
      <c r="AC22" s="469"/>
      <c r="AD22" s="86"/>
      <c r="AE22" s="85"/>
      <c r="AF22" s="469"/>
      <c r="AG22" s="469"/>
      <c r="AH22" s="469"/>
      <c r="AI22" s="469"/>
      <c r="AJ22" s="86"/>
    </row>
    <row r="23" spans="1:36">
      <c r="A23" s="85"/>
      <c r="B23" s="469"/>
      <c r="C23" s="469"/>
      <c r="D23" s="469"/>
      <c r="E23" s="469"/>
      <c r="F23" s="86"/>
      <c r="G23" s="85"/>
      <c r="H23" s="469"/>
      <c r="I23" s="469"/>
      <c r="J23" s="469"/>
      <c r="K23" s="469"/>
      <c r="L23" s="86"/>
      <c r="M23" s="85"/>
      <c r="N23" s="469"/>
      <c r="O23" s="469"/>
      <c r="P23" s="469"/>
      <c r="Q23" s="469"/>
      <c r="R23" s="86"/>
      <c r="S23" s="85"/>
      <c r="T23" s="469"/>
      <c r="U23" s="469"/>
      <c r="V23" s="469"/>
      <c r="W23" s="469"/>
      <c r="X23" s="86"/>
      <c r="Y23" s="85"/>
      <c r="Z23" s="469"/>
      <c r="AA23" s="469"/>
      <c r="AB23" s="469"/>
      <c r="AC23" s="469"/>
      <c r="AD23" s="86"/>
      <c r="AE23" s="85"/>
      <c r="AF23" s="469"/>
      <c r="AG23" s="469"/>
      <c r="AH23" s="469"/>
      <c r="AI23" s="469"/>
      <c r="AJ23" s="86"/>
    </row>
    <row r="24" spans="1:36">
      <c r="A24" s="85"/>
      <c r="B24" s="469"/>
      <c r="C24" s="469"/>
      <c r="D24" s="469"/>
      <c r="E24" s="469"/>
      <c r="F24" s="86"/>
      <c r="G24" s="85"/>
      <c r="H24" s="469"/>
      <c r="I24" s="469"/>
      <c r="J24" s="469"/>
      <c r="K24" s="469"/>
      <c r="L24" s="86"/>
      <c r="M24" s="85"/>
      <c r="N24" s="469"/>
      <c r="O24" s="469"/>
      <c r="P24" s="469"/>
      <c r="Q24" s="469"/>
      <c r="R24" s="86"/>
      <c r="S24" s="85"/>
      <c r="T24" s="469"/>
      <c r="U24" s="469"/>
      <c r="V24" s="469"/>
      <c r="W24" s="469"/>
      <c r="X24" s="86"/>
      <c r="Y24" s="85"/>
      <c r="Z24" s="469"/>
      <c r="AA24" s="469"/>
      <c r="AB24" s="469"/>
      <c r="AC24" s="469"/>
      <c r="AD24" s="86"/>
      <c r="AE24" s="85"/>
      <c r="AF24" s="469"/>
      <c r="AG24" s="469"/>
      <c r="AH24" s="469"/>
      <c r="AI24" s="469"/>
      <c r="AJ24" s="86"/>
    </row>
    <row r="25" spans="1:36" ht="15.75" thickBot="1">
      <c r="A25" s="85"/>
      <c r="B25" s="469"/>
      <c r="C25" s="469"/>
      <c r="D25" s="469"/>
      <c r="E25" s="469"/>
      <c r="F25" s="86"/>
      <c r="G25" s="85"/>
      <c r="H25" s="469"/>
      <c r="I25" s="469"/>
      <c r="J25" s="469"/>
      <c r="K25" s="469"/>
      <c r="L25" s="86"/>
      <c r="M25" s="85"/>
      <c r="N25" s="469"/>
      <c r="O25" s="469"/>
      <c r="P25" s="469"/>
      <c r="Q25" s="469"/>
      <c r="R25" s="86"/>
      <c r="S25" s="85"/>
      <c r="T25" s="469"/>
      <c r="U25" s="469"/>
      <c r="V25" s="469"/>
      <c r="W25" s="469"/>
      <c r="X25" s="86"/>
      <c r="Y25" s="85"/>
      <c r="Z25" s="469"/>
      <c r="AA25" s="469"/>
      <c r="AB25" s="469"/>
      <c r="AC25" s="469"/>
      <c r="AD25" s="86"/>
      <c r="AE25" s="85"/>
      <c r="AF25" s="469"/>
      <c r="AG25" s="469"/>
      <c r="AH25" s="469"/>
      <c r="AI25" s="469"/>
      <c r="AJ25" s="86"/>
    </row>
    <row r="26" spans="1:36" ht="21.75" thickBot="1">
      <c r="A26" s="753" t="s">
        <v>312</v>
      </c>
      <c r="B26" s="754"/>
      <c r="C26" s="754"/>
      <c r="D26" s="754"/>
      <c r="E26" s="754"/>
      <c r="F26" s="755"/>
      <c r="G26" s="753" t="s">
        <v>311</v>
      </c>
      <c r="H26" s="754"/>
      <c r="I26" s="754"/>
      <c r="J26" s="754"/>
      <c r="K26" s="754"/>
      <c r="L26" s="755"/>
      <c r="M26" s="753" t="s">
        <v>310</v>
      </c>
      <c r="N26" s="754"/>
      <c r="O26" s="754"/>
      <c r="P26" s="754"/>
      <c r="Q26" s="754"/>
      <c r="R26" s="755"/>
      <c r="S26" s="753" t="s">
        <v>309</v>
      </c>
      <c r="T26" s="754"/>
      <c r="U26" s="754"/>
      <c r="V26" s="754"/>
      <c r="W26" s="754"/>
      <c r="X26" s="755"/>
      <c r="Y26" s="753" t="s">
        <v>453</v>
      </c>
      <c r="Z26" s="754"/>
      <c r="AA26" s="754"/>
      <c r="AB26" s="754"/>
      <c r="AC26" s="754"/>
      <c r="AD26" s="755"/>
      <c r="AE26" s="753" t="s">
        <v>454</v>
      </c>
      <c r="AF26" s="754"/>
      <c r="AG26" s="754"/>
      <c r="AH26" s="754"/>
      <c r="AI26" s="754"/>
      <c r="AJ26" s="755"/>
    </row>
    <row r="27" spans="1:36">
      <c r="A27" s="477"/>
      <c r="B27" s="49"/>
      <c r="C27" s="49"/>
      <c r="D27" s="49"/>
      <c r="E27" s="49"/>
      <c r="F27" s="478"/>
      <c r="G27" s="477"/>
      <c r="H27" s="49"/>
      <c r="I27" s="49"/>
      <c r="J27" s="49"/>
      <c r="K27" s="49"/>
      <c r="L27" s="478"/>
      <c r="M27" s="477"/>
      <c r="N27" s="49"/>
      <c r="O27" s="49"/>
      <c r="P27" s="49"/>
      <c r="Q27" s="49"/>
      <c r="R27" s="478"/>
      <c r="S27" s="477"/>
      <c r="T27" s="49"/>
      <c r="U27" s="49"/>
      <c r="V27" s="49"/>
      <c r="W27" s="49"/>
      <c r="X27" s="478"/>
      <c r="Y27" s="477"/>
      <c r="Z27" s="49"/>
      <c r="AA27" s="49"/>
      <c r="AB27" s="49"/>
      <c r="AC27" s="49"/>
      <c r="AD27" s="478"/>
      <c r="AE27" s="477"/>
      <c r="AF27" s="49"/>
      <c r="AG27" s="49"/>
      <c r="AH27" s="49"/>
      <c r="AI27" s="49"/>
      <c r="AJ27" s="478"/>
    </row>
    <row r="28" spans="1:36">
      <c r="A28" s="85"/>
      <c r="B28" s="469"/>
      <c r="C28" s="469"/>
      <c r="D28" s="469"/>
      <c r="E28" s="469"/>
      <c r="F28" s="86"/>
      <c r="G28" s="85"/>
      <c r="H28" s="469"/>
      <c r="I28" s="469"/>
      <c r="J28" s="469"/>
      <c r="K28" s="469"/>
      <c r="L28" s="86"/>
      <c r="M28" s="85"/>
      <c r="N28" s="469"/>
      <c r="O28" s="469"/>
      <c r="P28" s="469"/>
      <c r="Q28" s="469"/>
      <c r="R28" s="86"/>
      <c r="S28" s="85"/>
      <c r="T28" s="469"/>
      <c r="U28" s="469"/>
      <c r="V28" s="469"/>
      <c r="W28" s="469"/>
      <c r="X28" s="86"/>
      <c r="Y28" s="85"/>
      <c r="Z28" s="469"/>
      <c r="AA28" s="469"/>
      <c r="AB28" s="469"/>
      <c r="AC28" s="469"/>
      <c r="AD28" s="86"/>
      <c r="AE28" s="85"/>
      <c r="AF28" s="469"/>
      <c r="AG28" s="469"/>
      <c r="AH28" s="469"/>
      <c r="AI28" s="469"/>
      <c r="AJ28" s="86"/>
    </row>
    <row r="29" spans="1:36">
      <c r="A29" s="85"/>
      <c r="B29" s="469"/>
      <c r="C29" s="469"/>
      <c r="D29" s="469"/>
      <c r="E29" s="469"/>
      <c r="F29" s="86"/>
      <c r="G29" s="85"/>
      <c r="H29" s="469"/>
      <c r="I29" s="469"/>
      <c r="J29" s="469"/>
      <c r="K29" s="469"/>
      <c r="L29" s="86"/>
      <c r="M29" s="85"/>
      <c r="N29" s="469"/>
      <c r="O29" s="469"/>
      <c r="P29" s="469"/>
      <c r="Q29" s="469"/>
      <c r="R29" s="86"/>
      <c r="S29" s="85"/>
      <c r="T29" s="469"/>
      <c r="U29" s="469"/>
      <c r="V29" s="469"/>
      <c r="W29" s="469"/>
      <c r="X29" s="86"/>
      <c r="Y29" s="85"/>
      <c r="Z29" s="469"/>
      <c r="AA29" s="469"/>
      <c r="AB29" s="469"/>
      <c r="AC29" s="469"/>
      <c r="AD29" s="86"/>
      <c r="AE29" s="85"/>
      <c r="AF29" s="469"/>
      <c r="AG29" s="469"/>
      <c r="AH29" s="469"/>
      <c r="AI29" s="469"/>
      <c r="AJ29" s="86"/>
    </row>
    <row r="30" spans="1:36">
      <c r="A30" s="85"/>
      <c r="B30" s="469"/>
      <c r="C30" s="469"/>
      <c r="D30" s="469"/>
      <c r="E30" s="469"/>
      <c r="F30" s="86"/>
      <c r="G30" s="85"/>
      <c r="H30" s="469"/>
      <c r="I30" s="469"/>
      <c r="J30" s="469"/>
      <c r="K30" s="469"/>
      <c r="L30" s="86"/>
      <c r="M30" s="85"/>
      <c r="N30" s="469"/>
      <c r="O30" s="469"/>
      <c r="P30" s="469"/>
      <c r="Q30" s="469"/>
      <c r="R30" s="86"/>
      <c r="S30" s="85"/>
      <c r="T30" s="469"/>
      <c r="U30" s="469"/>
      <c r="V30" s="469"/>
      <c r="W30" s="469"/>
      <c r="X30" s="86"/>
      <c r="Y30" s="85"/>
      <c r="Z30" s="469"/>
      <c r="AA30" s="469"/>
      <c r="AB30" s="469"/>
      <c r="AC30" s="469"/>
      <c r="AD30" s="86"/>
      <c r="AE30" s="85"/>
      <c r="AF30" s="469"/>
      <c r="AG30" s="469"/>
      <c r="AH30" s="469"/>
      <c r="AI30" s="469"/>
      <c r="AJ30" s="86"/>
    </row>
    <row r="31" spans="1:36">
      <c r="A31" s="85"/>
      <c r="B31" s="469"/>
      <c r="C31" s="469"/>
      <c r="D31" s="469"/>
      <c r="E31" s="469"/>
      <c r="F31" s="86"/>
      <c r="G31" s="85"/>
      <c r="H31" s="469"/>
      <c r="I31" s="469"/>
      <c r="J31" s="469"/>
      <c r="K31" s="469"/>
      <c r="L31" s="86"/>
      <c r="M31" s="85"/>
      <c r="N31" s="469"/>
      <c r="O31" s="469"/>
      <c r="P31" s="469"/>
      <c r="Q31" s="469"/>
      <c r="R31" s="86"/>
      <c r="S31" s="85"/>
      <c r="T31" s="469"/>
      <c r="U31" s="469"/>
      <c r="V31" s="469"/>
      <c r="W31" s="469"/>
      <c r="X31" s="86"/>
      <c r="Y31" s="85"/>
      <c r="Z31" s="469"/>
      <c r="AA31" s="469"/>
      <c r="AB31" s="469"/>
      <c r="AC31" s="469"/>
      <c r="AD31" s="86"/>
      <c r="AE31" s="85"/>
      <c r="AF31" s="469"/>
      <c r="AG31" s="469"/>
      <c r="AH31" s="469"/>
      <c r="AI31" s="469"/>
      <c r="AJ31" s="86"/>
    </row>
    <row r="32" spans="1:36">
      <c r="A32" s="85"/>
      <c r="B32" s="469"/>
      <c r="C32" s="469"/>
      <c r="D32" s="469"/>
      <c r="E32" s="469"/>
      <c r="F32" s="86"/>
      <c r="G32" s="85"/>
      <c r="H32" s="469"/>
      <c r="I32" s="469"/>
      <c r="J32" s="469"/>
      <c r="K32" s="469"/>
      <c r="L32" s="86"/>
      <c r="M32" s="85"/>
      <c r="N32" s="469"/>
      <c r="O32" s="469"/>
      <c r="P32" s="469"/>
      <c r="Q32" s="469"/>
      <c r="R32" s="86"/>
      <c r="S32" s="85"/>
      <c r="T32" s="469"/>
      <c r="U32" s="469"/>
      <c r="V32" s="469"/>
      <c r="W32" s="469"/>
      <c r="X32" s="86"/>
      <c r="Y32" s="85"/>
      <c r="Z32" s="469"/>
      <c r="AA32" s="469"/>
      <c r="AB32" s="469"/>
      <c r="AC32" s="469"/>
      <c r="AD32" s="86"/>
      <c r="AE32" s="85"/>
      <c r="AF32" s="469"/>
      <c r="AG32" s="469"/>
      <c r="AH32" s="469"/>
      <c r="AI32" s="469"/>
      <c r="AJ32" s="86"/>
    </row>
    <row r="33" spans="1:36">
      <c r="A33" s="85"/>
      <c r="B33" s="469"/>
      <c r="C33" s="469"/>
      <c r="D33" s="469"/>
      <c r="E33" s="469"/>
      <c r="F33" s="86"/>
      <c r="G33" s="85"/>
      <c r="H33" s="469"/>
      <c r="I33" s="469"/>
      <c r="J33" s="469"/>
      <c r="K33" s="469"/>
      <c r="L33" s="86"/>
      <c r="M33" s="85"/>
      <c r="N33" s="469"/>
      <c r="O33" s="469"/>
      <c r="P33" s="469"/>
      <c r="Q33" s="469"/>
      <c r="R33" s="86"/>
      <c r="S33" s="85"/>
      <c r="T33" s="469"/>
      <c r="U33" s="469"/>
      <c r="V33" s="469"/>
      <c r="W33" s="469"/>
      <c r="X33" s="86"/>
      <c r="Y33" s="85"/>
      <c r="Z33" s="469"/>
      <c r="AA33" s="469"/>
      <c r="AB33" s="469"/>
      <c r="AC33" s="469"/>
      <c r="AD33" s="86"/>
      <c r="AE33" s="85"/>
      <c r="AF33" s="469"/>
      <c r="AG33" s="469"/>
      <c r="AH33" s="469"/>
      <c r="AI33" s="469"/>
      <c r="AJ33" s="86"/>
    </row>
    <row r="34" spans="1:36">
      <c r="A34" s="85"/>
      <c r="B34" s="469"/>
      <c r="C34" s="469"/>
      <c r="D34" s="469"/>
      <c r="E34" s="469"/>
      <c r="F34" s="86"/>
      <c r="G34" s="85"/>
      <c r="H34" s="469"/>
      <c r="I34" s="469"/>
      <c r="J34" s="469"/>
      <c r="K34" s="469"/>
      <c r="L34" s="86"/>
      <c r="M34" s="85"/>
      <c r="N34" s="469"/>
      <c r="O34" s="469"/>
      <c r="P34" s="469"/>
      <c r="Q34" s="469"/>
      <c r="R34" s="86"/>
      <c r="S34" s="85"/>
      <c r="T34" s="469"/>
      <c r="U34" s="469"/>
      <c r="V34" s="469"/>
      <c r="W34" s="469"/>
      <c r="X34" s="86"/>
      <c r="Y34" s="85"/>
      <c r="Z34" s="469"/>
      <c r="AA34" s="469"/>
      <c r="AB34" s="469"/>
      <c r="AC34" s="469"/>
      <c r="AD34" s="86"/>
      <c r="AE34" s="85"/>
      <c r="AF34" s="469"/>
      <c r="AG34" s="469"/>
      <c r="AH34" s="469"/>
      <c r="AI34" s="469"/>
      <c r="AJ34" s="86"/>
    </row>
    <row r="35" spans="1:36">
      <c r="A35" s="85"/>
      <c r="B35" s="469"/>
      <c r="C35" s="469"/>
      <c r="D35" s="469"/>
      <c r="E35" s="469"/>
      <c r="F35" s="86"/>
      <c r="G35" s="85"/>
      <c r="H35" s="469"/>
      <c r="I35" s="469"/>
      <c r="J35" s="469"/>
      <c r="K35" s="469"/>
      <c r="L35" s="86"/>
      <c r="M35" s="85"/>
      <c r="N35" s="469"/>
      <c r="O35" s="469"/>
      <c r="P35" s="469"/>
      <c r="Q35" s="469"/>
      <c r="R35" s="86"/>
      <c r="S35" s="85"/>
      <c r="T35" s="469"/>
      <c r="U35" s="469"/>
      <c r="V35" s="469"/>
      <c r="W35" s="469"/>
      <c r="X35" s="86"/>
      <c r="Y35" s="85"/>
      <c r="Z35" s="469"/>
      <c r="AA35" s="469"/>
      <c r="AB35" s="469"/>
      <c r="AC35" s="469"/>
      <c r="AD35" s="86"/>
      <c r="AE35" s="85"/>
      <c r="AF35" s="469"/>
      <c r="AG35" s="469"/>
      <c r="AH35" s="469"/>
      <c r="AI35" s="469"/>
      <c r="AJ35" s="86"/>
    </row>
    <row r="36" spans="1:36">
      <c r="A36" s="85"/>
      <c r="B36" s="469"/>
      <c r="C36" s="469"/>
      <c r="D36" s="469"/>
      <c r="E36" s="469"/>
      <c r="F36" s="86"/>
      <c r="G36" s="85"/>
      <c r="H36" s="469"/>
      <c r="I36" s="469"/>
      <c r="J36" s="469"/>
      <c r="K36" s="469"/>
      <c r="L36" s="86"/>
      <c r="M36" s="85"/>
      <c r="N36" s="469"/>
      <c r="O36" s="469"/>
      <c r="P36" s="469"/>
      <c r="Q36" s="469"/>
      <c r="R36" s="86"/>
      <c r="S36" s="85"/>
      <c r="T36" s="469"/>
      <c r="U36" s="469"/>
      <c r="V36" s="469"/>
      <c r="W36" s="469"/>
      <c r="X36" s="86"/>
      <c r="Y36" s="85"/>
      <c r="Z36" s="469"/>
      <c r="AA36" s="469"/>
      <c r="AB36" s="469"/>
      <c r="AC36" s="469"/>
      <c r="AD36" s="86"/>
      <c r="AE36" s="85"/>
      <c r="AF36" s="469"/>
      <c r="AG36" s="469"/>
      <c r="AH36" s="469"/>
      <c r="AI36" s="469"/>
      <c r="AJ36" s="86"/>
    </row>
    <row r="37" spans="1:36">
      <c r="A37" s="85"/>
      <c r="B37" s="469"/>
      <c r="C37" s="469"/>
      <c r="D37" s="469"/>
      <c r="E37" s="469"/>
      <c r="F37" s="86"/>
      <c r="G37" s="85"/>
      <c r="H37" s="469"/>
      <c r="I37" s="469"/>
      <c r="J37" s="469"/>
      <c r="K37" s="469"/>
      <c r="L37" s="86"/>
      <c r="M37" s="85"/>
      <c r="N37" s="469"/>
      <c r="O37" s="469"/>
      <c r="P37" s="469"/>
      <c r="Q37" s="469"/>
      <c r="R37" s="86"/>
      <c r="S37" s="85"/>
      <c r="T37" s="469"/>
      <c r="U37" s="469"/>
      <c r="V37" s="469"/>
      <c r="W37" s="469"/>
      <c r="X37" s="86"/>
      <c r="Y37" s="85"/>
      <c r="Z37" s="469"/>
      <c r="AA37" s="469"/>
      <c r="AB37" s="469"/>
      <c r="AC37" s="469"/>
      <c r="AD37" s="86"/>
      <c r="AE37" s="85"/>
      <c r="AF37" s="469"/>
      <c r="AG37" s="469"/>
      <c r="AH37" s="469"/>
      <c r="AI37" s="469"/>
      <c r="AJ37" s="86"/>
    </row>
    <row r="38" spans="1:36">
      <c r="A38" s="85"/>
      <c r="B38" s="469"/>
      <c r="C38" s="469"/>
      <c r="D38" s="469"/>
      <c r="E38" s="469"/>
      <c r="F38" s="86"/>
      <c r="G38" s="85"/>
      <c r="H38" s="469"/>
      <c r="I38" s="469"/>
      <c r="J38" s="469"/>
      <c r="K38" s="469"/>
      <c r="L38" s="86"/>
      <c r="M38" s="85"/>
      <c r="N38" s="469"/>
      <c r="O38" s="469"/>
      <c r="P38" s="469"/>
      <c r="Q38" s="469"/>
      <c r="R38" s="86"/>
      <c r="S38" s="85"/>
      <c r="T38" s="469"/>
      <c r="U38" s="469"/>
      <c r="V38" s="469"/>
      <c r="W38" s="469"/>
      <c r="X38" s="86"/>
      <c r="Y38" s="85"/>
      <c r="Z38" s="469"/>
      <c r="AA38" s="469"/>
      <c r="AB38" s="469"/>
      <c r="AC38" s="469"/>
      <c r="AD38" s="86"/>
      <c r="AE38" s="85"/>
      <c r="AF38" s="469"/>
      <c r="AG38" s="469"/>
      <c r="AH38" s="469"/>
      <c r="AI38" s="469"/>
      <c r="AJ38" s="86"/>
    </row>
    <row r="39" spans="1:36">
      <c r="A39" s="85"/>
      <c r="B39" s="469"/>
      <c r="C39" s="469"/>
      <c r="D39" s="469"/>
      <c r="E39" s="469"/>
      <c r="F39" s="86"/>
      <c r="G39" s="85"/>
      <c r="H39" s="469"/>
      <c r="I39" s="469"/>
      <c r="J39" s="469"/>
      <c r="K39" s="469"/>
      <c r="L39" s="86"/>
      <c r="M39" s="85"/>
      <c r="N39" s="469"/>
      <c r="O39" s="469"/>
      <c r="P39" s="469"/>
      <c r="Q39" s="469"/>
      <c r="R39" s="86"/>
      <c r="S39" s="85"/>
      <c r="T39" s="469"/>
      <c r="U39" s="469"/>
      <c r="V39" s="469"/>
      <c r="W39" s="469"/>
      <c r="X39" s="86"/>
      <c r="Y39" s="85"/>
      <c r="Z39" s="469"/>
      <c r="AA39" s="469"/>
      <c r="AB39" s="469"/>
      <c r="AC39" s="469"/>
      <c r="AD39" s="86"/>
      <c r="AE39" s="85"/>
      <c r="AF39" s="469"/>
      <c r="AG39" s="469"/>
      <c r="AH39" s="469"/>
      <c r="AI39" s="469"/>
      <c r="AJ39" s="86"/>
    </row>
    <row r="40" spans="1:36">
      <c r="A40" s="85"/>
      <c r="B40" s="469"/>
      <c r="C40" s="469"/>
      <c r="D40" s="469"/>
      <c r="E40" s="469"/>
      <c r="F40" s="86"/>
      <c r="G40" s="85"/>
      <c r="H40" s="469"/>
      <c r="I40" s="469"/>
      <c r="J40" s="469"/>
      <c r="K40" s="469"/>
      <c r="L40" s="86"/>
      <c r="M40" s="85"/>
      <c r="N40" s="469"/>
      <c r="O40" s="469"/>
      <c r="P40" s="469"/>
      <c r="Q40" s="469"/>
      <c r="R40" s="86"/>
      <c r="S40" s="85"/>
      <c r="T40" s="469"/>
      <c r="U40" s="469"/>
      <c r="V40" s="469"/>
      <c r="W40" s="469"/>
      <c r="X40" s="86"/>
      <c r="Y40" s="85"/>
      <c r="Z40" s="469"/>
      <c r="AA40" s="469"/>
      <c r="AB40" s="469"/>
      <c r="AC40" s="469"/>
      <c r="AD40" s="86"/>
      <c r="AE40" s="85"/>
      <c r="AF40" s="469"/>
      <c r="AG40" s="469"/>
      <c r="AH40" s="469"/>
      <c r="AI40" s="469"/>
      <c r="AJ40" s="86"/>
    </row>
    <row r="41" spans="1:36">
      <c r="A41" s="85"/>
      <c r="B41" s="469"/>
      <c r="C41" s="469"/>
      <c r="D41" s="469"/>
      <c r="E41" s="469"/>
      <c r="F41" s="86"/>
      <c r="G41" s="85"/>
      <c r="H41" s="469"/>
      <c r="I41" s="469"/>
      <c r="J41" s="469"/>
      <c r="K41" s="469"/>
      <c r="L41" s="86"/>
      <c r="M41" s="85"/>
      <c r="N41" s="469"/>
      <c r="O41" s="469"/>
      <c r="P41" s="469"/>
      <c r="Q41" s="469"/>
      <c r="R41" s="86"/>
      <c r="S41" s="85"/>
      <c r="T41" s="469"/>
      <c r="U41" s="469"/>
      <c r="V41" s="469"/>
      <c r="W41" s="469"/>
      <c r="X41" s="86"/>
      <c r="Y41" s="85"/>
      <c r="Z41" s="469"/>
      <c r="AA41" s="469"/>
      <c r="AB41" s="469"/>
      <c r="AC41" s="469"/>
      <c r="AD41" s="86"/>
      <c r="AE41" s="85"/>
      <c r="AF41" s="469"/>
      <c r="AG41" s="469"/>
      <c r="AH41" s="469"/>
      <c r="AI41" s="469"/>
      <c r="AJ41" s="86"/>
    </row>
    <row r="42" spans="1:36">
      <c r="A42" s="85"/>
      <c r="B42" s="469"/>
      <c r="C42" s="469"/>
      <c r="D42" s="469"/>
      <c r="E42" s="469"/>
      <c r="F42" s="86"/>
      <c r="G42" s="85"/>
      <c r="H42" s="469"/>
      <c r="I42" s="469"/>
      <c r="J42" s="469"/>
      <c r="K42" s="469"/>
      <c r="L42" s="86"/>
      <c r="M42" s="85"/>
      <c r="N42" s="469"/>
      <c r="O42" s="469"/>
      <c r="P42" s="469"/>
      <c r="Q42" s="469"/>
      <c r="R42" s="86"/>
      <c r="S42" s="85"/>
      <c r="T42" s="469"/>
      <c r="U42" s="469"/>
      <c r="V42" s="469"/>
      <c r="W42" s="469"/>
      <c r="X42" s="86"/>
      <c r="Y42" s="85"/>
      <c r="Z42" s="469"/>
      <c r="AA42" s="469"/>
      <c r="AB42" s="469"/>
      <c r="AC42" s="469"/>
      <c r="AD42" s="86"/>
      <c r="AE42" s="85"/>
      <c r="AF42" s="469"/>
      <c r="AG42" s="469"/>
      <c r="AH42" s="469"/>
      <c r="AI42" s="469"/>
      <c r="AJ42" s="86"/>
    </row>
    <row r="43" spans="1:36">
      <c r="A43" s="85"/>
      <c r="B43" s="469"/>
      <c r="C43" s="469"/>
      <c r="D43" s="469"/>
      <c r="E43" s="469"/>
      <c r="F43" s="86"/>
      <c r="G43" s="85"/>
      <c r="H43" s="469"/>
      <c r="I43" s="469"/>
      <c r="J43" s="469"/>
      <c r="K43" s="469"/>
      <c r="L43" s="86"/>
      <c r="M43" s="85"/>
      <c r="N43" s="469"/>
      <c r="O43" s="469"/>
      <c r="P43" s="469"/>
      <c r="Q43" s="469"/>
      <c r="R43" s="86"/>
      <c r="S43" s="85"/>
      <c r="T43" s="469"/>
      <c r="U43" s="469"/>
      <c r="V43" s="469"/>
      <c r="W43" s="469"/>
      <c r="X43" s="86"/>
      <c r="Y43" s="85"/>
      <c r="Z43" s="469"/>
      <c r="AA43" s="469"/>
      <c r="AB43" s="469"/>
      <c r="AC43" s="469"/>
      <c r="AD43" s="86"/>
      <c r="AE43" s="85"/>
      <c r="AF43" s="469"/>
      <c r="AG43" s="469"/>
      <c r="AH43" s="469"/>
      <c r="AI43" s="469"/>
      <c r="AJ43" s="86"/>
    </row>
    <row r="44" spans="1:36">
      <c r="A44" s="85"/>
      <c r="B44" s="469"/>
      <c r="C44" s="469"/>
      <c r="D44" s="469"/>
      <c r="E44" s="469"/>
      <c r="F44" s="86"/>
      <c r="G44" s="85"/>
      <c r="H44" s="469"/>
      <c r="I44" s="469"/>
      <c r="J44" s="469"/>
      <c r="K44" s="469"/>
      <c r="L44" s="86"/>
      <c r="M44" s="85"/>
      <c r="N44" s="469"/>
      <c r="O44" s="469"/>
      <c r="P44" s="469"/>
      <c r="Q44" s="469"/>
      <c r="R44" s="86"/>
      <c r="S44" s="85"/>
      <c r="T44" s="469"/>
      <c r="U44" s="469"/>
      <c r="V44" s="469"/>
      <c r="W44" s="469"/>
      <c r="X44" s="86"/>
      <c r="Y44" s="85"/>
      <c r="Z44" s="469"/>
      <c r="AA44" s="469"/>
      <c r="AB44" s="469"/>
      <c r="AC44" s="469"/>
      <c r="AD44" s="86"/>
      <c r="AE44" s="85"/>
      <c r="AF44" s="469"/>
      <c r="AG44" s="469"/>
      <c r="AH44" s="469"/>
      <c r="AI44" s="469"/>
      <c r="AJ44" s="86"/>
    </row>
    <row r="45" spans="1:36">
      <c r="A45" s="85"/>
      <c r="B45" s="469"/>
      <c r="C45" s="469"/>
      <c r="D45" s="469"/>
      <c r="E45" s="469"/>
      <c r="F45" s="86"/>
      <c r="G45" s="85"/>
      <c r="H45" s="469"/>
      <c r="I45" s="469"/>
      <c r="J45" s="469"/>
      <c r="K45" s="469"/>
      <c r="L45" s="86"/>
      <c r="M45" s="85"/>
      <c r="N45" s="469"/>
      <c r="O45" s="469"/>
      <c r="P45" s="469"/>
      <c r="Q45" s="469"/>
      <c r="R45" s="86"/>
      <c r="S45" s="85"/>
      <c r="T45" s="469"/>
      <c r="U45" s="469"/>
      <c r="V45" s="469"/>
      <c r="W45" s="469"/>
      <c r="X45" s="86"/>
      <c r="Y45" s="85"/>
      <c r="Z45" s="469"/>
      <c r="AA45" s="469"/>
      <c r="AB45" s="469"/>
      <c r="AC45" s="469"/>
      <c r="AD45" s="86"/>
      <c r="AE45" s="85"/>
      <c r="AF45" s="469"/>
      <c r="AG45" s="469"/>
      <c r="AH45" s="469"/>
      <c r="AI45" s="469"/>
      <c r="AJ45" s="86"/>
    </row>
    <row r="46" spans="1:36">
      <c r="A46" s="85"/>
      <c r="B46" s="469"/>
      <c r="C46" s="469"/>
      <c r="D46" s="469"/>
      <c r="E46" s="469"/>
      <c r="F46" s="86"/>
      <c r="G46" s="85"/>
      <c r="H46" s="469"/>
      <c r="I46" s="469"/>
      <c r="J46" s="469"/>
      <c r="K46" s="469"/>
      <c r="L46" s="86"/>
      <c r="M46" s="85"/>
      <c r="N46" s="469"/>
      <c r="O46" s="469"/>
      <c r="P46" s="469"/>
      <c r="Q46" s="469"/>
      <c r="R46" s="86"/>
      <c r="S46" s="85"/>
      <c r="T46" s="469"/>
      <c r="U46" s="469"/>
      <c r="V46" s="469"/>
      <c r="W46" s="469"/>
      <c r="X46" s="86"/>
      <c r="Y46" s="85"/>
      <c r="Z46" s="469"/>
      <c r="AA46" s="469"/>
      <c r="AB46" s="469"/>
      <c r="AC46" s="469"/>
      <c r="AD46" s="86"/>
      <c r="AE46" s="85"/>
      <c r="AF46" s="469"/>
      <c r="AG46" s="469"/>
      <c r="AH46" s="469"/>
      <c r="AI46" s="469"/>
      <c r="AJ46" s="86"/>
    </row>
    <row r="47" spans="1:36" ht="15.75" thickBot="1">
      <c r="A47" s="85"/>
      <c r="B47" s="469"/>
      <c r="C47" s="469"/>
      <c r="D47" s="469"/>
      <c r="E47" s="469"/>
      <c r="F47" s="86"/>
      <c r="G47" s="85"/>
      <c r="H47" s="469"/>
      <c r="I47" s="469"/>
      <c r="J47" s="469"/>
      <c r="K47" s="469"/>
      <c r="L47" s="86"/>
      <c r="M47" s="85"/>
      <c r="N47" s="469"/>
      <c r="O47" s="469"/>
      <c r="P47" s="469"/>
      <c r="Q47" s="469"/>
      <c r="R47" s="86"/>
      <c r="S47" s="85"/>
      <c r="T47" s="469"/>
      <c r="U47" s="469"/>
      <c r="V47" s="469"/>
      <c r="W47" s="469"/>
      <c r="X47" s="86"/>
      <c r="Y47" s="85"/>
      <c r="Z47" s="469"/>
      <c r="AA47" s="469"/>
      <c r="AB47" s="469"/>
      <c r="AC47" s="469"/>
      <c r="AD47" s="86"/>
      <c r="AE47" s="85"/>
      <c r="AF47" s="469"/>
      <c r="AG47" s="469"/>
      <c r="AH47" s="469"/>
      <c r="AI47" s="469"/>
      <c r="AJ47" s="86"/>
    </row>
    <row r="48" spans="1:36" ht="21.75" thickBot="1">
      <c r="A48" s="753" t="s">
        <v>452</v>
      </c>
      <c r="B48" s="754"/>
      <c r="C48" s="754"/>
      <c r="D48" s="754"/>
      <c r="E48" s="754"/>
      <c r="F48" s="755"/>
      <c r="G48" s="753" t="s">
        <v>455</v>
      </c>
      <c r="H48" s="754"/>
      <c r="I48" s="754"/>
      <c r="J48" s="754"/>
      <c r="K48" s="754"/>
      <c r="L48" s="755"/>
      <c r="M48" s="753" t="s">
        <v>456</v>
      </c>
      <c r="N48" s="754"/>
      <c r="O48" s="754"/>
      <c r="P48" s="754"/>
      <c r="Q48" s="754"/>
      <c r="R48" s="755"/>
      <c r="S48" s="753" t="s">
        <v>457</v>
      </c>
      <c r="T48" s="754"/>
      <c r="U48" s="754"/>
      <c r="V48" s="754"/>
      <c r="W48" s="754"/>
      <c r="X48" s="755"/>
      <c r="Y48" s="753" t="s">
        <v>22</v>
      </c>
      <c r="Z48" s="754"/>
      <c r="AA48" s="754"/>
      <c r="AB48" s="754"/>
      <c r="AC48" s="754"/>
      <c r="AD48" s="755"/>
      <c r="AE48" s="753" t="s">
        <v>21</v>
      </c>
      <c r="AF48" s="754"/>
      <c r="AG48" s="754"/>
      <c r="AH48" s="754"/>
      <c r="AI48" s="754"/>
      <c r="AJ48" s="755"/>
    </row>
    <row r="49" spans="1:36">
      <c r="A49" s="477"/>
      <c r="B49" s="49"/>
      <c r="C49" s="49"/>
      <c r="D49" s="49"/>
      <c r="E49" s="49"/>
      <c r="F49" s="478"/>
      <c r="G49" s="477"/>
      <c r="H49" s="49"/>
      <c r="I49" s="49"/>
      <c r="J49" s="49"/>
      <c r="K49" s="49"/>
      <c r="L49" s="478"/>
      <c r="M49" s="477"/>
      <c r="N49" s="49"/>
      <c r="O49" s="49"/>
      <c r="P49" s="49"/>
      <c r="Q49" s="49"/>
      <c r="R49" s="478"/>
      <c r="S49" s="477"/>
      <c r="T49" s="49"/>
      <c r="U49" s="49"/>
      <c r="V49" s="49"/>
      <c r="W49" s="49"/>
      <c r="X49" s="478"/>
      <c r="Y49" s="477"/>
      <c r="Z49" s="49"/>
      <c r="AA49" s="49"/>
      <c r="AB49" s="49"/>
      <c r="AC49" s="49"/>
      <c r="AD49" s="478"/>
      <c r="AE49" s="477"/>
      <c r="AF49" s="49"/>
      <c r="AG49" s="49"/>
      <c r="AH49" s="49"/>
      <c r="AI49" s="49"/>
      <c r="AJ49" s="478"/>
    </row>
    <row r="50" spans="1:36">
      <c r="A50" s="85"/>
      <c r="B50" s="469"/>
      <c r="C50" s="469"/>
      <c r="D50" s="469"/>
      <c r="E50" s="469"/>
      <c r="F50" s="86"/>
      <c r="G50" s="85"/>
      <c r="H50" s="469"/>
      <c r="I50" s="469"/>
      <c r="J50" s="469"/>
      <c r="K50" s="469"/>
      <c r="L50" s="86"/>
      <c r="M50" s="85"/>
      <c r="N50" s="469"/>
      <c r="O50" s="469"/>
      <c r="P50" s="469"/>
      <c r="Q50" s="469"/>
      <c r="R50" s="86"/>
      <c r="S50" s="85"/>
      <c r="T50" s="469"/>
      <c r="U50" s="469"/>
      <c r="V50" s="469"/>
      <c r="W50" s="469"/>
      <c r="X50" s="86"/>
      <c r="Y50" s="85"/>
      <c r="Z50" s="469"/>
      <c r="AA50" s="469"/>
      <c r="AB50" s="469"/>
      <c r="AC50" s="469"/>
      <c r="AD50" s="86"/>
      <c r="AE50" s="85"/>
      <c r="AF50" s="469"/>
      <c r="AG50" s="469"/>
      <c r="AH50" s="469"/>
      <c r="AI50" s="469"/>
      <c r="AJ50" s="86"/>
    </row>
    <row r="51" spans="1:36">
      <c r="A51" s="85"/>
      <c r="B51" s="469"/>
      <c r="C51" s="469"/>
      <c r="D51" s="469"/>
      <c r="E51" s="469"/>
      <c r="F51" s="86"/>
      <c r="G51" s="85"/>
      <c r="H51" s="469"/>
      <c r="I51" s="469"/>
      <c r="J51" s="469"/>
      <c r="K51" s="469"/>
      <c r="L51" s="86"/>
      <c r="M51" s="85"/>
      <c r="N51" s="469"/>
      <c r="O51" s="469"/>
      <c r="P51" s="469"/>
      <c r="Q51" s="469"/>
      <c r="R51" s="86"/>
      <c r="S51" s="85"/>
      <c r="T51" s="469"/>
      <c r="U51" s="469"/>
      <c r="V51" s="469"/>
      <c r="W51" s="469"/>
      <c r="X51" s="86"/>
      <c r="Y51" s="85"/>
      <c r="Z51" s="469"/>
      <c r="AA51" s="469"/>
      <c r="AB51" s="469"/>
      <c r="AC51" s="469"/>
      <c r="AD51" s="86"/>
      <c r="AE51" s="85"/>
      <c r="AF51" s="469"/>
      <c r="AG51" s="469"/>
      <c r="AH51" s="469"/>
      <c r="AI51" s="469"/>
      <c r="AJ51" s="86"/>
    </row>
    <row r="52" spans="1:36">
      <c r="A52" s="85"/>
      <c r="B52" s="469"/>
      <c r="C52" s="469"/>
      <c r="D52" s="469"/>
      <c r="E52" s="469"/>
      <c r="F52" s="86"/>
      <c r="G52" s="85"/>
      <c r="H52" s="469"/>
      <c r="I52" s="469"/>
      <c r="J52" s="469"/>
      <c r="K52" s="469"/>
      <c r="L52" s="86"/>
      <c r="M52" s="85"/>
      <c r="N52" s="469"/>
      <c r="O52" s="469"/>
      <c r="P52" s="469"/>
      <c r="Q52" s="469"/>
      <c r="R52" s="86"/>
      <c r="S52" s="85"/>
      <c r="T52" s="469"/>
      <c r="U52" s="469"/>
      <c r="V52" s="469"/>
      <c r="W52" s="469"/>
      <c r="X52" s="86"/>
      <c r="Y52" s="85"/>
      <c r="Z52" s="469"/>
      <c r="AA52" s="469"/>
      <c r="AB52" s="469"/>
      <c r="AC52" s="469"/>
      <c r="AD52" s="86"/>
      <c r="AE52" s="85"/>
      <c r="AF52" s="469"/>
      <c r="AG52" s="469"/>
      <c r="AH52" s="469"/>
      <c r="AI52" s="469"/>
      <c r="AJ52" s="86"/>
    </row>
    <row r="53" spans="1:36">
      <c r="A53" s="85"/>
      <c r="B53" s="469"/>
      <c r="C53" s="469"/>
      <c r="D53" s="469"/>
      <c r="E53" s="469"/>
      <c r="F53" s="86"/>
      <c r="G53" s="85"/>
      <c r="H53" s="469"/>
      <c r="I53" s="469"/>
      <c r="J53" s="469"/>
      <c r="K53" s="469"/>
      <c r="L53" s="86"/>
      <c r="M53" s="85"/>
      <c r="N53" s="469"/>
      <c r="O53" s="469"/>
      <c r="P53" s="469"/>
      <c r="Q53" s="469"/>
      <c r="R53" s="86"/>
      <c r="S53" s="85"/>
      <c r="T53" s="469"/>
      <c r="U53" s="469"/>
      <c r="V53" s="469"/>
      <c r="W53" s="469"/>
      <c r="X53" s="86"/>
      <c r="Y53" s="85"/>
      <c r="Z53" s="469"/>
      <c r="AA53" s="469"/>
      <c r="AB53" s="469"/>
      <c r="AC53" s="469"/>
      <c r="AD53" s="86"/>
      <c r="AE53" s="85"/>
      <c r="AF53" s="469"/>
      <c r="AG53" s="469"/>
      <c r="AH53" s="469"/>
      <c r="AI53" s="469"/>
      <c r="AJ53" s="86"/>
    </row>
    <row r="54" spans="1:36">
      <c r="A54" s="85"/>
      <c r="B54" s="469"/>
      <c r="C54" s="469"/>
      <c r="D54" s="469"/>
      <c r="E54" s="469"/>
      <c r="F54" s="86"/>
      <c r="G54" s="85"/>
      <c r="H54" s="469"/>
      <c r="I54" s="469"/>
      <c r="J54" s="469"/>
      <c r="K54" s="469"/>
      <c r="L54" s="86"/>
      <c r="M54" s="85"/>
      <c r="N54" s="469"/>
      <c r="O54" s="469"/>
      <c r="P54" s="469"/>
      <c r="Q54" s="469"/>
      <c r="R54" s="86"/>
      <c r="S54" s="85"/>
      <c r="T54" s="469"/>
      <c r="U54" s="469"/>
      <c r="V54" s="469"/>
      <c r="W54" s="469"/>
      <c r="X54" s="86"/>
      <c r="Y54" s="85"/>
      <c r="Z54" s="469"/>
      <c r="AA54" s="469"/>
      <c r="AB54" s="469"/>
      <c r="AC54" s="469"/>
      <c r="AD54" s="86"/>
      <c r="AE54" s="85"/>
      <c r="AF54" s="469"/>
      <c r="AG54" s="469"/>
      <c r="AH54" s="469"/>
      <c r="AI54" s="469"/>
      <c r="AJ54" s="86"/>
    </row>
    <row r="55" spans="1:36">
      <c r="A55" s="85"/>
      <c r="B55" s="469"/>
      <c r="C55" s="469"/>
      <c r="D55" s="469"/>
      <c r="E55" s="469"/>
      <c r="F55" s="86"/>
      <c r="G55" s="85"/>
      <c r="H55" s="469"/>
      <c r="I55" s="469"/>
      <c r="J55" s="469"/>
      <c r="K55" s="469"/>
      <c r="L55" s="86"/>
      <c r="M55" s="85"/>
      <c r="N55" s="469"/>
      <c r="O55" s="469"/>
      <c r="P55" s="469"/>
      <c r="Q55" s="469"/>
      <c r="R55" s="86"/>
      <c r="S55" s="85"/>
      <c r="T55" s="469"/>
      <c r="U55" s="469"/>
      <c r="V55" s="469"/>
      <c r="W55" s="469"/>
      <c r="X55" s="86"/>
      <c r="Y55" s="85"/>
      <c r="Z55" s="469"/>
      <c r="AA55" s="469"/>
      <c r="AB55" s="469"/>
      <c r="AC55" s="469"/>
      <c r="AD55" s="86"/>
      <c r="AE55" s="85"/>
      <c r="AF55" s="469"/>
      <c r="AG55" s="469"/>
      <c r="AH55" s="469"/>
      <c r="AI55" s="469"/>
      <c r="AJ55" s="86"/>
    </row>
    <row r="56" spans="1:36">
      <c r="A56" s="85"/>
      <c r="B56" s="469"/>
      <c r="C56" s="469"/>
      <c r="D56" s="469"/>
      <c r="E56" s="469"/>
      <c r="F56" s="86"/>
      <c r="G56" s="85"/>
      <c r="H56" s="469"/>
      <c r="I56" s="469"/>
      <c r="J56" s="469"/>
      <c r="K56" s="469"/>
      <c r="L56" s="86"/>
      <c r="M56" s="85"/>
      <c r="N56" s="469"/>
      <c r="O56" s="469"/>
      <c r="P56" s="469"/>
      <c r="Q56" s="469"/>
      <c r="R56" s="86"/>
      <c r="S56" s="85"/>
      <c r="T56" s="469"/>
      <c r="U56" s="469"/>
      <c r="V56" s="469"/>
      <c r="W56" s="469"/>
      <c r="X56" s="86"/>
      <c r="Y56" s="85"/>
      <c r="Z56" s="469"/>
      <c r="AA56" s="469"/>
      <c r="AB56" s="469"/>
      <c r="AC56" s="469"/>
      <c r="AD56" s="86"/>
      <c r="AE56" s="85"/>
      <c r="AF56" s="469"/>
      <c r="AG56" s="469"/>
      <c r="AH56" s="469"/>
      <c r="AI56" s="469"/>
      <c r="AJ56" s="86"/>
    </row>
    <row r="57" spans="1:36">
      <c r="A57" s="85"/>
      <c r="B57" s="469"/>
      <c r="C57" s="469"/>
      <c r="D57" s="469"/>
      <c r="E57" s="469"/>
      <c r="F57" s="86"/>
      <c r="G57" s="85"/>
      <c r="H57" s="469"/>
      <c r="I57" s="469"/>
      <c r="J57" s="469"/>
      <c r="K57" s="469"/>
      <c r="L57" s="86"/>
      <c r="M57" s="85"/>
      <c r="N57" s="469"/>
      <c r="O57" s="469"/>
      <c r="P57" s="469"/>
      <c r="Q57" s="469"/>
      <c r="R57" s="86"/>
      <c r="S57" s="85"/>
      <c r="T57" s="469"/>
      <c r="U57" s="469"/>
      <c r="V57" s="469"/>
      <c r="W57" s="469"/>
      <c r="X57" s="86"/>
      <c r="Y57" s="85"/>
      <c r="Z57" s="469"/>
      <c r="AA57" s="469"/>
      <c r="AB57" s="469"/>
      <c r="AC57" s="469"/>
      <c r="AD57" s="86"/>
      <c r="AE57" s="85"/>
      <c r="AF57" s="469"/>
      <c r="AG57" s="469"/>
      <c r="AH57" s="469"/>
      <c r="AI57" s="469"/>
      <c r="AJ57" s="86"/>
    </row>
    <row r="58" spans="1:36">
      <c r="A58" s="85"/>
      <c r="B58" s="469"/>
      <c r="C58" s="469"/>
      <c r="D58" s="469"/>
      <c r="E58" s="469"/>
      <c r="F58" s="86"/>
      <c r="G58" s="85"/>
      <c r="H58" s="469"/>
      <c r="I58" s="469"/>
      <c r="J58" s="469"/>
      <c r="K58" s="469"/>
      <c r="L58" s="86"/>
      <c r="M58" s="85"/>
      <c r="N58" s="469"/>
      <c r="O58" s="469"/>
      <c r="P58" s="469"/>
      <c r="Q58" s="469"/>
      <c r="R58" s="86"/>
      <c r="S58" s="85"/>
      <c r="T58" s="469"/>
      <c r="U58" s="469"/>
      <c r="V58" s="469"/>
      <c r="W58" s="469"/>
      <c r="X58" s="86"/>
      <c r="Y58" s="85"/>
      <c r="Z58" s="469"/>
      <c r="AA58" s="469"/>
      <c r="AB58" s="469"/>
      <c r="AC58" s="469"/>
      <c r="AD58" s="86"/>
      <c r="AE58" s="85"/>
      <c r="AF58" s="469"/>
      <c r="AG58" s="469"/>
      <c r="AH58" s="469"/>
      <c r="AI58" s="469"/>
      <c r="AJ58" s="86"/>
    </row>
    <row r="59" spans="1:36">
      <c r="A59" s="85"/>
      <c r="B59" s="469"/>
      <c r="C59" s="469"/>
      <c r="D59" s="469"/>
      <c r="E59" s="469"/>
      <c r="F59" s="86"/>
      <c r="G59" s="85"/>
      <c r="H59" s="469"/>
      <c r="I59" s="469"/>
      <c r="J59" s="469"/>
      <c r="K59" s="469"/>
      <c r="L59" s="86"/>
      <c r="M59" s="85"/>
      <c r="N59" s="469"/>
      <c r="O59" s="469"/>
      <c r="P59" s="469"/>
      <c r="Q59" s="469"/>
      <c r="R59" s="86"/>
      <c r="S59" s="85"/>
      <c r="T59" s="469"/>
      <c r="U59" s="469"/>
      <c r="V59" s="469"/>
      <c r="W59" s="469"/>
      <c r="X59" s="86"/>
      <c r="Y59" s="85"/>
      <c r="Z59" s="469"/>
      <c r="AA59" s="469"/>
      <c r="AB59" s="469"/>
      <c r="AC59" s="469"/>
      <c r="AD59" s="86"/>
      <c r="AE59" s="85"/>
      <c r="AF59" s="469"/>
      <c r="AG59" s="469"/>
      <c r="AH59" s="469"/>
      <c r="AI59" s="469"/>
      <c r="AJ59" s="86"/>
    </row>
    <row r="60" spans="1:36">
      <c r="A60" s="85"/>
      <c r="B60" s="469"/>
      <c r="C60" s="469"/>
      <c r="D60" s="469"/>
      <c r="E60" s="469"/>
      <c r="F60" s="86"/>
      <c r="G60" s="85"/>
      <c r="H60" s="469"/>
      <c r="I60" s="469"/>
      <c r="J60" s="469"/>
      <c r="K60" s="469"/>
      <c r="L60" s="86"/>
      <c r="M60" s="85"/>
      <c r="N60" s="469"/>
      <c r="O60" s="469"/>
      <c r="P60" s="469"/>
      <c r="Q60" s="469"/>
      <c r="R60" s="86"/>
      <c r="S60" s="85"/>
      <c r="T60" s="469"/>
      <c r="U60" s="469"/>
      <c r="V60" s="469"/>
      <c r="W60" s="469"/>
      <c r="X60" s="86"/>
      <c r="Y60" s="85"/>
      <c r="Z60" s="469"/>
      <c r="AA60" s="469"/>
      <c r="AB60" s="469"/>
      <c r="AC60" s="469"/>
      <c r="AD60" s="86"/>
      <c r="AE60" s="85"/>
      <c r="AF60" s="469"/>
      <c r="AG60" s="469"/>
      <c r="AH60" s="469"/>
      <c r="AI60" s="469"/>
      <c r="AJ60" s="86"/>
    </row>
    <row r="61" spans="1:36">
      <c r="A61" s="85"/>
      <c r="B61" s="469"/>
      <c r="C61" s="469"/>
      <c r="D61" s="469"/>
      <c r="E61" s="469"/>
      <c r="F61" s="86"/>
      <c r="G61" s="85"/>
      <c r="H61" s="469"/>
      <c r="I61" s="469"/>
      <c r="J61" s="469"/>
      <c r="K61" s="469"/>
      <c r="L61" s="86"/>
      <c r="M61" s="85"/>
      <c r="N61" s="469"/>
      <c r="O61" s="469"/>
      <c r="P61" s="469"/>
      <c r="Q61" s="469"/>
      <c r="R61" s="86"/>
      <c r="S61" s="85"/>
      <c r="T61" s="469"/>
      <c r="U61" s="469"/>
      <c r="V61" s="469"/>
      <c r="W61" s="469"/>
      <c r="X61" s="86"/>
      <c r="Y61" s="85"/>
      <c r="Z61" s="469"/>
      <c r="AA61" s="469"/>
      <c r="AB61" s="469"/>
      <c r="AC61" s="469"/>
      <c r="AD61" s="86"/>
      <c r="AE61" s="85"/>
      <c r="AF61" s="469"/>
      <c r="AG61" s="469"/>
      <c r="AH61" s="469"/>
      <c r="AI61" s="469"/>
      <c r="AJ61" s="86"/>
    </row>
    <row r="62" spans="1:36">
      <c r="A62" s="85"/>
      <c r="B62" s="469"/>
      <c r="C62" s="469"/>
      <c r="D62" s="469"/>
      <c r="E62" s="469"/>
      <c r="F62" s="86"/>
      <c r="G62" s="85"/>
      <c r="H62" s="469"/>
      <c r="I62" s="469"/>
      <c r="J62" s="469"/>
      <c r="K62" s="469"/>
      <c r="L62" s="86"/>
      <c r="M62" s="85"/>
      <c r="N62" s="469"/>
      <c r="O62" s="469"/>
      <c r="P62" s="469"/>
      <c r="Q62" s="469"/>
      <c r="R62" s="86"/>
      <c r="S62" s="85"/>
      <c r="T62" s="469"/>
      <c r="U62" s="469"/>
      <c r="V62" s="469"/>
      <c r="W62" s="469"/>
      <c r="X62" s="86"/>
      <c r="Y62" s="85"/>
      <c r="Z62" s="469"/>
      <c r="AA62" s="469"/>
      <c r="AB62" s="469"/>
      <c r="AC62" s="469"/>
      <c r="AD62" s="86"/>
      <c r="AE62" s="85"/>
      <c r="AF62" s="469"/>
      <c r="AG62" s="469"/>
      <c r="AH62" s="469"/>
      <c r="AI62" s="469"/>
      <c r="AJ62" s="86"/>
    </row>
    <row r="63" spans="1:36">
      <c r="A63" s="85"/>
      <c r="B63" s="469"/>
      <c r="C63" s="469"/>
      <c r="D63" s="469"/>
      <c r="E63" s="469"/>
      <c r="F63" s="86"/>
      <c r="G63" s="85"/>
      <c r="H63" s="469"/>
      <c r="I63" s="469"/>
      <c r="J63" s="469"/>
      <c r="K63" s="469"/>
      <c r="L63" s="86"/>
      <c r="M63" s="85"/>
      <c r="N63" s="469"/>
      <c r="O63" s="469"/>
      <c r="P63" s="469"/>
      <c r="Q63" s="469"/>
      <c r="R63" s="86"/>
      <c r="S63" s="85"/>
      <c r="T63" s="469"/>
      <c r="U63" s="469"/>
      <c r="V63" s="469"/>
      <c r="W63" s="469"/>
      <c r="X63" s="86"/>
      <c r="Y63" s="85"/>
      <c r="Z63" s="469"/>
      <c r="AA63" s="469"/>
      <c r="AB63" s="469"/>
      <c r="AC63" s="469"/>
      <c r="AD63" s="86"/>
      <c r="AE63" s="85"/>
      <c r="AF63" s="469"/>
      <c r="AG63" s="469"/>
      <c r="AH63" s="469"/>
      <c r="AI63" s="469"/>
      <c r="AJ63" s="86"/>
    </row>
    <row r="64" spans="1:36">
      <c r="A64" s="85"/>
      <c r="B64" s="469"/>
      <c r="C64" s="469"/>
      <c r="D64" s="469"/>
      <c r="E64" s="469"/>
      <c r="F64" s="86"/>
      <c r="G64" s="85"/>
      <c r="H64" s="469"/>
      <c r="I64" s="469"/>
      <c r="J64" s="469"/>
      <c r="K64" s="469"/>
      <c r="L64" s="86"/>
      <c r="M64" s="85"/>
      <c r="N64" s="469"/>
      <c r="O64" s="469"/>
      <c r="P64" s="469"/>
      <c r="Q64" s="469"/>
      <c r="R64" s="86"/>
      <c r="S64" s="85"/>
      <c r="T64" s="469"/>
      <c r="U64" s="469"/>
      <c r="V64" s="469"/>
      <c r="W64" s="469"/>
      <c r="X64" s="86"/>
      <c r="Y64" s="85"/>
      <c r="Z64" s="469"/>
      <c r="AA64" s="469"/>
      <c r="AB64" s="469"/>
      <c r="AC64" s="469"/>
      <c r="AD64" s="86"/>
      <c r="AE64" s="85"/>
      <c r="AF64" s="469"/>
      <c r="AG64" s="469"/>
      <c r="AH64" s="469"/>
      <c r="AI64" s="469"/>
      <c r="AJ64" s="86"/>
    </row>
    <row r="65" spans="1:36">
      <c r="A65" s="85"/>
      <c r="B65" s="469"/>
      <c r="C65" s="469"/>
      <c r="D65" s="469"/>
      <c r="E65" s="469"/>
      <c r="F65" s="86"/>
      <c r="G65" s="85"/>
      <c r="H65" s="469"/>
      <c r="I65" s="469"/>
      <c r="J65" s="469"/>
      <c r="K65" s="469"/>
      <c r="L65" s="86"/>
      <c r="M65" s="85"/>
      <c r="N65" s="469"/>
      <c r="O65" s="469"/>
      <c r="P65" s="469"/>
      <c r="Q65" s="469"/>
      <c r="R65" s="86"/>
      <c r="S65" s="85"/>
      <c r="T65" s="469"/>
      <c r="U65" s="469"/>
      <c r="V65" s="469"/>
      <c r="W65" s="469"/>
      <c r="X65" s="86"/>
      <c r="Y65" s="85"/>
      <c r="Z65" s="469"/>
      <c r="AA65" s="469"/>
      <c r="AB65" s="469"/>
      <c r="AC65" s="469"/>
      <c r="AD65" s="86"/>
      <c r="AE65" s="85"/>
      <c r="AF65" s="469"/>
      <c r="AG65" s="469"/>
      <c r="AH65" s="469"/>
      <c r="AI65" s="469"/>
      <c r="AJ65" s="86"/>
    </row>
    <row r="66" spans="1:36">
      <c r="A66" s="85"/>
      <c r="B66" s="469"/>
      <c r="C66" s="469"/>
      <c r="D66" s="469"/>
      <c r="E66" s="469"/>
      <c r="F66" s="86"/>
      <c r="G66" s="85"/>
      <c r="H66" s="469"/>
      <c r="I66" s="469"/>
      <c r="J66" s="469"/>
      <c r="K66" s="469"/>
      <c r="L66" s="86"/>
      <c r="M66" s="85"/>
      <c r="N66" s="469"/>
      <c r="O66" s="469"/>
      <c r="P66" s="469"/>
      <c r="Q66" s="469"/>
      <c r="R66" s="86"/>
      <c r="S66" s="85"/>
      <c r="T66" s="469"/>
      <c r="U66" s="469"/>
      <c r="V66" s="469"/>
      <c r="W66" s="469"/>
      <c r="X66" s="86"/>
      <c r="Y66" s="85"/>
      <c r="Z66" s="469"/>
      <c r="AA66" s="469"/>
      <c r="AB66" s="469"/>
      <c r="AC66" s="469"/>
      <c r="AD66" s="86"/>
      <c r="AE66" s="85"/>
      <c r="AF66" s="469"/>
      <c r="AG66" s="469"/>
      <c r="AH66" s="469"/>
      <c r="AI66" s="469"/>
      <c r="AJ66" s="86"/>
    </row>
    <row r="67" spans="1:36">
      <c r="A67" s="85"/>
      <c r="B67" s="469"/>
      <c r="C67" s="469"/>
      <c r="D67" s="469"/>
      <c r="E67" s="469"/>
      <c r="F67" s="86"/>
      <c r="G67" s="85"/>
      <c r="H67" s="469"/>
      <c r="I67" s="469"/>
      <c r="J67" s="469"/>
      <c r="K67" s="469"/>
      <c r="L67" s="86"/>
      <c r="M67" s="85"/>
      <c r="N67" s="469"/>
      <c r="O67" s="469"/>
      <c r="P67" s="469"/>
      <c r="Q67" s="469"/>
      <c r="R67" s="86"/>
      <c r="S67" s="85"/>
      <c r="T67" s="469"/>
      <c r="U67" s="469"/>
      <c r="V67" s="469"/>
      <c r="W67" s="469"/>
      <c r="X67" s="86"/>
      <c r="Y67" s="85"/>
      <c r="Z67" s="469"/>
      <c r="AA67" s="469"/>
      <c r="AB67" s="469"/>
      <c r="AC67" s="469"/>
      <c r="AD67" s="86"/>
      <c r="AE67" s="85"/>
      <c r="AF67" s="469"/>
      <c r="AG67" s="469"/>
      <c r="AH67" s="469"/>
      <c r="AI67" s="469"/>
      <c r="AJ67" s="86"/>
    </row>
    <row r="68" spans="1:36">
      <c r="A68" s="85"/>
      <c r="B68" s="469"/>
      <c r="C68" s="469"/>
      <c r="D68" s="469"/>
      <c r="E68" s="469"/>
      <c r="F68" s="86"/>
      <c r="G68" s="85"/>
      <c r="H68" s="469"/>
      <c r="I68" s="469"/>
      <c r="J68" s="469"/>
      <c r="K68" s="469"/>
      <c r="L68" s="86"/>
      <c r="M68" s="85"/>
      <c r="N68" s="469"/>
      <c r="O68" s="469"/>
      <c r="P68" s="469"/>
      <c r="Q68" s="469"/>
      <c r="R68" s="86"/>
      <c r="S68" s="85"/>
      <c r="T68" s="469"/>
      <c r="U68" s="469"/>
      <c r="V68" s="469"/>
      <c r="W68" s="469"/>
      <c r="X68" s="86"/>
      <c r="Y68" s="85"/>
      <c r="Z68" s="469"/>
      <c r="AA68" s="469"/>
      <c r="AB68" s="469"/>
      <c r="AC68" s="469"/>
      <c r="AD68" s="86"/>
      <c r="AE68" s="85"/>
      <c r="AF68" s="469"/>
      <c r="AG68" s="469"/>
      <c r="AH68" s="469"/>
      <c r="AI68" s="469"/>
      <c r="AJ68" s="86"/>
    </row>
    <row r="69" spans="1:36" ht="15.75" thickBot="1">
      <c r="A69" s="85"/>
      <c r="B69" s="469"/>
      <c r="C69" s="469"/>
      <c r="D69" s="469"/>
      <c r="E69" s="469"/>
      <c r="F69" s="86"/>
      <c r="G69" s="85"/>
      <c r="H69" s="469"/>
      <c r="I69" s="469"/>
      <c r="J69" s="469"/>
      <c r="K69" s="469"/>
      <c r="L69" s="86"/>
      <c r="M69" s="85"/>
      <c r="N69" s="469"/>
      <c r="O69" s="469"/>
      <c r="P69" s="469"/>
      <c r="Q69" s="469"/>
      <c r="R69" s="86"/>
      <c r="S69" s="85"/>
      <c r="T69" s="469"/>
      <c r="U69" s="469"/>
      <c r="V69" s="469"/>
      <c r="W69" s="469"/>
      <c r="X69" s="86"/>
      <c r="Y69" s="85"/>
      <c r="Z69" s="469"/>
      <c r="AA69" s="469"/>
      <c r="AB69" s="469"/>
      <c r="AC69" s="469"/>
      <c r="AD69" s="86"/>
      <c r="AE69" s="85"/>
      <c r="AF69" s="469"/>
      <c r="AG69" s="469"/>
      <c r="AH69" s="469"/>
      <c r="AI69" s="469"/>
      <c r="AJ69" s="86"/>
    </row>
    <row r="70" spans="1:36" ht="21.75" thickBot="1">
      <c r="A70" s="753" t="s">
        <v>319</v>
      </c>
      <c r="B70" s="754"/>
      <c r="C70" s="754"/>
      <c r="D70" s="754"/>
      <c r="E70" s="754"/>
      <c r="F70" s="755"/>
      <c r="G70" s="753" t="s">
        <v>318</v>
      </c>
      <c r="H70" s="754"/>
      <c r="I70" s="754"/>
      <c r="J70" s="754"/>
      <c r="K70" s="754"/>
      <c r="L70" s="755"/>
      <c r="M70" s="753" t="s">
        <v>317</v>
      </c>
      <c r="N70" s="754"/>
      <c r="O70" s="754"/>
      <c r="P70" s="754"/>
      <c r="Q70" s="754"/>
      <c r="R70" s="755"/>
      <c r="S70" s="753" t="s">
        <v>316</v>
      </c>
      <c r="T70" s="754"/>
      <c r="U70" s="754"/>
      <c r="V70" s="754"/>
      <c r="W70" s="754"/>
      <c r="X70" s="755"/>
      <c r="Y70" s="753" t="s">
        <v>315</v>
      </c>
      <c r="Z70" s="754"/>
      <c r="AA70" s="754"/>
      <c r="AB70" s="754"/>
      <c r="AC70" s="754"/>
      <c r="AD70" s="755"/>
      <c r="AE70" s="753" t="s">
        <v>314</v>
      </c>
      <c r="AF70" s="754"/>
      <c r="AG70" s="754"/>
      <c r="AH70" s="754"/>
      <c r="AI70" s="754"/>
      <c r="AJ70" s="755"/>
    </row>
    <row r="71" spans="1:36">
      <c r="A71" s="477"/>
      <c r="B71" s="49"/>
      <c r="C71" s="49"/>
      <c r="D71" s="49"/>
      <c r="E71" s="49"/>
      <c r="F71" s="478"/>
      <c r="G71" s="477"/>
      <c r="H71" s="49"/>
      <c r="I71" s="49"/>
      <c r="J71" s="49"/>
      <c r="K71" s="49"/>
      <c r="L71" s="478"/>
      <c r="M71" s="477"/>
      <c r="N71" s="49"/>
      <c r="O71" s="49"/>
      <c r="P71" s="49"/>
      <c r="Q71" s="49"/>
      <c r="R71" s="478"/>
      <c r="S71" s="477"/>
      <c r="T71" s="49"/>
      <c r="U71" s="49"/>
      <c r="V71" s="49"/>
      <c r="W71" s="49"/>
      <c r="X71" s="478"/>
      <c r="AE71" s="477"/>
      <c r="AF71" s="49"/>
      <c r="AG71" s="49"/>
      <c r="AH71" s="49"/>
      <c r="AI71" s="49"/>
      <c r="AJ71" s="478"/>
    </row>
    <row r="72" spans="1:36">
      <c r="A72" s="85"/>
      <c r="B72" s="469"/>
      <c r="C72" s="469"/>
      <c r="D72" s="469"/>
      <c r="E72" s="469"/>
      <c r="F72" s="86"/>
      <c r="G72" s="85"/>
      <c r="H72" s="469"/>
      <c r="I72" s="469"/>
      <c r="J72" s="469"/>
      <c r="K72" s="469"/>
      <c r="L72" s="86"/>
      <c r="M72" s="85"/>
      <c r="N72" s="469"/>
      <c r="O72" s="469"/>
      <c r="P72" s="469"/>
      <c r="Q72" s="469"/>
      <c r="R72" s="86"/>
      <c r="S72" s="85"/>
      <c r="T72" s="469"/>
      <c r="U72" s="469"/>
      <c r="V72" s="469"/>
      <c r="W72" s="469"/>
      <c r="X72" s="86"/>
      <c r="AE72" s="85"/>
      <c r="AF72" s="469"/>
      <c r="AG72" s="469"/>
      <c r="AH72" s="469"/>
      <c r="AI72" s="469"/>
      <c r="AJ72" s="86"/>
    </row>
    <row r="73" spans="1:36">
      <c r="A73" s="85"/>
      <c r="B73" s="469"/>
      <c r="C73" s="469"/>
      <c r="D73" s="469"/>
      <c r="E73" s="469"/>
      <c r="F73" s="86"/>
      <c r="G73" s="85"/>
      <c r="H73" s="469"/>
      <c r="I73" s="469"/>
      <c r="J73" s="469"/>
      <c r="K73" s="469"/>
      <c r="L73" s="86"/>
      <c r="M73" s="85"/>
      <c r="N73" s="469"/>
      <c r="O73" s="469"/>
      <c r="P73" s="469"/>
      <c r="Q73" s="469"/>
      <c r="R73" s="86"/>
      <c r="S73" s="85"/>
      <c r="T73" s="469"/>
      <c r="U73" s="469"/>
      <c r="V73" s="469"/>
      <c r="W73" s="469"/>
      <c r="X73" s="86"/>
      <c r="AE73" s="85"/>
      <c r="AF73" s="469"/>
      <c r="AG73" s="469"/>
      <c r="AH73" s="469"/>
      <c r="AI73" s="469"/>
      <c r="AJ73" s="86"/>
    </row>
    <row r="74" spans="1:36">
      <c r="A74" s="85"/>
      <c r="B74" s="469"/>
      <c r="C74" s="469"/>
      <c r="D74" s="469"/>
      <c r="E74" s="469"/>
      <c r="F74" s="86"/>
      <c r="G74" s="85"/>
      <c r="H74" s="469"/>
      <c r="I74" s="469"/>
      <c r="J74" s="469"/>
      <c r="K74" s="469"/>
      <c r="L74" s="86"/>
      <c r="M74" s="85"/>
      <c r="N74" s="469"/>
      <c r="O74" s="469"/>
      <c r="P74" s="469"/>
      <c r="Q74" s="469"/>
      <c r="R74" s="86"/>
      <c r="S74" s="85"/>
      <c r="T74" s="469"/>
      <c r="U74" s="469"/>
      <c r="V74" s="469"/>
      <c r="W74" s="469"/>
      <c r="X74" s="86"/>
      <c r="AE74" s="85"/>
      <c r="AF74" s="469"/>
      <c r="AG74" s="469"/>
      <c r="AH74" s="469"/>
      <c r="AI74" s="469"/>
      <c r="AJ74" s="86"/>
    </row>
    <row r="75" spans="1:36">
      <c r="A75" s="85"/>
      <c r="B75" s="469"/>
      <c r="C75" s="469"/>
      <c r="D75" s="469"/>
      <c r="E75" s="469"/>
      <c r="F75" s="86"/>
      <c r="G75" s="85"/>
      <c r="H75" s="469"/>
      <c r="I75" s="469"/>
      <c r="J75" s="469"/>
      <c r="K75" s="469"/>
      <c r="L75" s="86"/>
      <c r="M75" s="85"/>
      <c r="N75" s="469"/>
      <c r="O75" s="469"/>
      <c r="P75" s="469"/>
      <c r="Q75" s="469"/>
      <c r="R75" s="86"/>
      <c r="S75" s="85"/>
      <c r="T75" s="469"/>
      <c r="U75" s="469"/>
      <c r="V75" s="469"/>
      <c r="W75" s="469"/>
      <c r="X75" s="86"/>
      <c r="AE75" s="85"/>
      <c r="AF75" s="469"/>
      <c r="AG75" s="469"/>
      <c r="AH75" s="469"/>
      <c r="AI75" s="469"/>
      <c r="AJ75" s="86"/>
    </row>
    <row r="76" spans="1:36">
      <c r="A76" s="85"/>
      <c r="B76" s="469"/>
      <c r="C76" s="469"/>
      <c r="D76" s="469"/>
      <c r="E76" s="469"/>
      <c r="F76" s="86"/>
      <c r="G76" s="85"/>
      <c r="H76" s="469"/>
      <c r="I76" s="469"/>
      <c r="J76" s="469"/>
      <c r="K76" s="469"/>
      <c r="L76" s="86"/>
      <c r="M76" s="85"/>
      <c r="N76" s="469"/>
      <c r="O76" s="469"/>
      <c r="P76" s="469"/>
      <c r="Q76" s="469"/>
      <c r="R76" s="86"/>
      <c r="S76" s="85"/>
      <c r="T76" s="469"/>
      <c r="U76" s="469"/>
      <c r="V76" s="469"/>
      <c r="W76" s="469"/>
      <c r="X76" s="86"/>
      <c r="AE76" s="85"/>
      <c r="AF76" s="469"/>
      <c r="AG76" s="469"/>
      <c r="AH76" s="469"/>
      <c r="AI76" s="469"/>
      <c r="AJ76" s="86"/>
    </row>
    <row r="77" spans="1:36">
      <c r="A77" s="85"/>
      <c r="B77" s="469"/>
      <c r="C77" s="469"/>
      <c r="D77" s="469"/>
      <c r="E77" s="469"/>
      <c r="F77" s="86"/>
      <c r="G77" s="85"/>
      <c r="H77" s="469"/>
      <c r="I77" s="469"/>
      <c r="J77" s="469"/>
      <c r="K77" s="469"/>
      <c r="L77" s="86"/>
      <c r="M77" s="85"/>
      <c r="N77" s="469"/>
      <c r="O77" s="469"/>
      <c r="P77" s="469"/>
      <c r="Q77" s="469"/>
      <c r="R77" s="86"/>
      <c r="S77" s="85"/>
      <c r="T77" s="469"/>
      <c r="U77" s="469"/>
      <c r="V77" s="469"/>
      <c r="W77" s="469"/>
      <c r="X77" s="86"/>
      <c r="AE77" s="85"/>
      <c r="AF77" s="469"/>
      <c r="AG77" s="469"/>
      <c r="AH77" s="469"/>
      <c r="AI77" s="469"/>
      <c r="AJ77" s="86"/>
    </row>
    <row r="78" spans="1:36">
      <c r="A78" s="85"/>
      <c r="B78" s="469"/>
      <c r="C78" s="469"/>
      <c r="D78" s="469"/>
      <c r="E78" s="469"/>
      <c r="F78" s="86"/>
      <c r="G78" s="85"/>
      <c r="H78" s="469"/>
      <c r="I78" s="469"/>
      <c r="J78" s="469"/>
      <c r="K78" s="469"/>
      <c r="L78" s="86"/>
      <c r="M78" s="85"/>
      <c r="N78" s="469"/>
      <c r="O78" s="469"/>
      <c r="P78" s="469"/>
      <c r="Q78" s="469"/>
      <c r="R78" s="86"/>
      <c r="S78" s="85"/>
      <c r="T78" s="469"/>
      <c r="U78" s="469"/>
      <c r="V78" s="469"/>
      <c r="W78" s="469"/>
      <c r="X78" s="86"/>
      <c r="AE78" s="85"/>
      <c r="AF78" s="469"/>
      <c r="AG78" s="469"/>
      <c r="AH78" s="469"/>
      <c r="AI78" s="469"/>
      <c r="AJ78" s="86"/>
    </row>
    <row r="79" spans="1:36">
      <c r="A79" s="85"/>
      <c r="B79" s="469"/>
      <c r="C79" s="469"/>
      <c r="D79" s="469"/>
      <c r="E79" s="469"/>
      <c r="F79" s="86"/>
      <c r="G79" s="85"/>
      <c r="H79" s="469"/>
      <c r="I79" s="469"/>
      <c r="J79" s="469"/>
      <c r="K79" s="469"/>
      <c r="L79" s="86"/>
      <c r="M79" s="85"/>
      <c r="N79" s="469"/>
      <c r="O79" s="469"/>
      <c r="P79" s="469"/>
      <c r="Q79" s="469"/>
      <c r="R79" s="86"/>
      <c r="S79" s="85"/>
      <c r="T79" s="469"/>
      <c r="U79" s="469"/>
      <c r="V79" s="469"/>
      <c r="W79" s="469"/>
      <c r="X79" s="86"/>
      <c r="AE79" s="85"/>
      <c r="AF79" s="469"/>
      <c r="AG79" s="469"/>
      <c r="AH79" s="469"/>
      <c r="AI79" s="469"/>
      <c r="AJ79" s="86"/>
    </row>
    <row r="80" spans="1:36">
      <c r="A80" s="85"/>
      <c r="B80" s="469"/>
      <c r="C80" s="469"/>
      <c r="D80" s="469"/>
      <c r="E80" s="469"/>
      <c r="F80" s="86"/>
      <c r="G80" s="85"/>
      <c r="H80" s="469"/>
      <c r="I80" s="469"/>
      <c r="J80" s="469"/>
      <c r="K80" s="469"/>
      <c r="L80" s="86"/>
      <c r="M80" s="85"/>
      <c r="N80" s="469"/>
      <c r="O80" s="469"/>
      <c r="P80" s="469"/>
      <c r="Q80" s="469"/>
      <c r="R80" s="86"/>
      <c r="S80" s="85"/>
      <c r="T80" s="469"/>
      <c r="U80" s="469"/>
      <c r="V80" s="469"/>
      <c r="W80" s="469"/>
      <c r="X80" s="86"/>
      <c r="AE80" s="85"/>
      <c r="AF80" s="469"/>
      <c r="AG80" s="469"/>
      <c r="AH80" s="469"/>
      <c r="AI80" s="469"/>
      <c r="AJ80" s="86"/>
    </row>
    <row r="81" spans="1:36">
      <c r="A81" s="85"/>
      <c r="B81" s="469"/>
      <c r="C81" s="469"/>
      <c r="D81" s="469"/>
      <c r="E81" s="469"/>
      <c r="F81" s="86"/>
      <c r="G81" s="85"/>
      <c r="H81" s="469"/>
      <c r="I81" s="469"/>
      <c r="J81" s="469"/>
      <c r="K81" s="469"/>
      <c r="L81" s="86"/>
      <c r="M81" s="85"/>
      <c r="N81" s="469"/>
      <c r="O81" s="469"/>
      <c r="P81" s="469"/>
      <c r="Q81" s="469"/>
      <c r="R81" s="86"/>
      <c r="S81" s="85"/>
      <c r="T81" s="469"/>
      <c r="U81" s="469"/>
      <c r="V81" s="469"/>
      <c r="W81" s="469"/>
      <c r="X81" s="86"/>
      <c r="AE81" s="85"/>
      <c r="AF81" s="469"/>
      <c r="AG81" s="469"/>
      <c r="AH81" s="469"/>
      <c r="AI81" s="469"/>
      <c r="AJ81" s="86"/>
    </row>
    <row r="82" spans="1:36">
      <c r="A82" s="85"/>
      <c r="B82" s="469"/>
      <c r="C82" s="469"/>
      <c r="D82" s="469"/>
      <c r="E82" s="469"/>
      <c r="F82" s="86"/>
      <c r="G82" s="85"/>
      <c r="H82" s="469"/>
      <c r="I82" s="469"/>
      <c r="J82" s="469"/>
      <c r="K82" s="469"/>
      <c r="L82" s="86"/>
      <c r="M82" s="85"/>
      <c r="N82" s="469"/>
      <c r="O82" s="469"/>
      <c r="P82" s="469"/>
      <c r="Q82" s="469"/>
      <c r="R82" s="86"/>
      <c r="S82" s="85"/>
      <c r="T82" s="469"/>
      <c r="U82" s="469"/>
      <c r="V82" s="469"/>
      <c r="W82" s="469"/>
      <c r="X82" s="86"/>
      <c r="AE82" s="85"/>
      <c r="AF82" s="469"/>
      <c r="AG82" s="469"/>
      <c r="AH82" s="469"/>
      <c r="AI82" s="469"/>
      <c r="AJ82" s="86"/>
    </row>
    <row r="83" spans="1:36">
      <c r="A83" s="85"/>
      <c r="B83" s="469"/>
      <c r="C83" s="469"/>
      <c r="D83" s="469"/>
      <c r="E83" s="469"/>
      <c r="F83" s="86"/>
      <c r="G83" s="85"/>
      <c r="H83" s="469"/>
      <c r="I83" s="469"/>
      <c r="J83" s="469"/>
      <c r="K83" s="469"/>
      <c r="L83" s="86"/>
      <c r="M83" s="85"/>
      <c r="N83" s="469"/>
      <c r="O83" s="469"/>
      <c r="P83" s="469"/>
      <c r="Q83" s="469"/>
      <c r="R83" s="86"/>
      <c r="S83" s="85"/>
      <c r="T83" s="469"/>
      <c r="U83" s="469"/>
      <c r="V83" s="469"/>
      <c r="W83" s="469"/>
      <c r="X83" s="86"/>
      <c r="AE83" s="85"/>
      <c r="AF83" s="469"/>
      <c r="AG83" s="469"/>
      <c r="AH83" s="469"/>
      <c r="AI83" s="469"/>
      <c r="AJ83" s="86"/>
    </row>
    <row r="84" spans="1:36">
      <c r="A84" s="85"/>
      <c r="B84" s="469"/>
      <c r="C84" s="469"/>
      <c r="D84" s="469"/>
      <c r="E84" s="469"/>
      <c r="F84" s="86"/>
      <c r="G84" s="85"/>
      <c r="H84" s="469"/>
      <c r="I84" s="469"/>
      <c r="J84" s="469"/>
      <c r="K84" s="469"/>
      <c r="L84" s="86"/>
      <c r="M84" s="85"/>
      <c r="N84" s="469"/>
      <c r="O84" s="469"/>
      <c r="P84" s="469"/>
      <c r="Q84" s="469"/>
      <c r="R84" s="86"/>
      <c r="S84" s="85"/>
      <c r="T84" s="469"/>
      <c r="U84" s="469"/>
      <c r="V84" s="469"/>
      <c r="W84" s="469"/>
      <c r="X84" s="86"/>
      <c r="AE84" s="85"/>
      <c r="AF84" s="469"/>
      <c r="AG84" s="469"/>
      <c r="AH84" s="469"/>
      <c r="AI84" s="469"/>
      <c r="AJ84" s="86"/>
    </row>
    <row r="85" spans="1:36">
      <c r="A85" s="85"/>
      <c r="B85" s="469"/>
      <c r="C85" s="469"/>
      <c r="D85" s="469"/>
      <c r="E85" s="469"/>
      <c r="F85" s="86"/>
      <c r="G85" s="85"/>
      <c r="H85" s="469"/>
      <c r="I85" s="469"/>
      <c r="J85" s="469"/>
      <c r="K85" s="469"/>
      <c r="L85" s="86"/>
      <c r="M85" s="85"/>
      <c r="N85" s="469"/>
      <c r="O85" s="469"/>
      <c r="P85" s="469"/>
      <c r="Q85" s="469"/>
      <c r="R85" s="86"/>
      <c r="S85" s="85"/>
      <c r="T85" s="469"/>
      <c r="U85" s="469"/>
      <c r="V85" s="469"/>
      <c r="W85" s="469"/>
      <c r="X85" s="86"/>
      <c r="AE85" s="85"/>
      <c r="AF85" s="469"/>
      <c r="AG85" s="469"/>
      <c r="AH85" s="469"/>
      <c r="AI85" s="469"/>
      <c r="AJ85" s="86"/>
    </row>
    <row r="86" spans="1:36">
      <c r="A86" s="85"/>
      <c r="B86" s="469"/>
      <c r="C86" s="469"/>
      <c r="D86" s="469"/>
      <c r="E86" s="469"/>
      <c r="F86" s="86"/>
      <c r="G86" s="85"/>
      <c r="H86" s="469"/>
      <c r="I86" s="469"/>
      <c r="J86" s="469"/>
      <c r="K86" s="469"/>
      <c r="L86" s="86"/>
      <c r="M86" s="85"/>
      <c r="N86" s="469"/>
      <c r="O86" s="469"/>
      <c r="P86" s="469"/>
      <c r="Q86" s="469"/>
      <c r="R86" s="86"/>
      <c r="S86" s="85"/>
      <c r="T86" s="469"/>
      <c r="U86" s="469"/>
      <c r="V86" s="469"/>
      <c r="W86" s="469"/>
      <c r="X86" s="86"/>
      <c r="AE86" s="85"/>
      <c r="AF86" s="469"/>
      <c r="AG86" s="469"/>
      <c r="AH86" s="469"/>
      <c r="AI86" s="469"/>
      <c r="AJ86" s="86"/>
    </row>
    <row r="87" spans="1:36">
      <c r="A87" s="85"/>
      <c r="B87" s="469"/>
      <c r="C87" s="469"/>
      <c r="D87" s="469"/>
      <c r="E87" s="469"/>
      <c r="F87" s="86"/>
      <c r="G87" s="85"/>
      <c r="H87" s="469"/>
      <c r="I87" s="469"/>
      <c r="J87" s="469"/>
      <c r="K87" s="469"/>
      <c r="L87" s="86"/>
      <c r="M87" s="85"/>
      <c r="N87" s="469"/>
      <c r="O87" s="469"/>
      <c r="P87" s="469"/>
      <c r="Q87" s="469"/>
      <c r="R87" s="86"/>
      <c r="S87" s="85"/>
      <c r="T87" s="469"/>
      <c r="U87" s="469"/>
      <c r="V87" s="469"/>
      <c r="W87" s="469"/>
      <c r="X87" s="86"/>
      <c r="AE87" s="85"/>
      <c r="AF87" s="469"/>
      <c r="AG87" s="469"/>
      <c r="AH87" s="469"/>
      <c r="AI87" s="469"/>
      <c r="AJ87" s="86"/>
    </row>
    <row r="88" spans="1:36">
      <c r="A88" s="85"/>
      <c r="B88" s="469"/>
      <c r="C88" s="469"/>
      <c r="D88" s="469"/>
      <c r="E88" s="469"/>
      <c r="F88" s="86"/>
      <c r="G88" s="85"/>
      <c r="H88" s="469"/>
      <c r="I88" s="469"/>
      <c r="J88" s="469"/>
      <c r="K88" s="469"/>
      <c r="L88" s="86"/>
      <c r="M88" s="85"/>
      <c r="N88" s="469"/>
      <c r="O88" s="469"/>
      <c r="P88" s="469"/>
      <c r="Q88" s="469"/>
      <c r="R88" s="86"/>
      <c r="S88" s="85"/>
      <c r="T88" s="469"/>
      <c r="U88" s="469"/>
      <c r="V88" s="469"/>
      <c r="W88" s="469"/>
      <c r="X88" s="86"/>
      <c r="AE88" s="85"/>
      <c r="AF88" s="469"/>
      <c r="AG88" s="469"/>
      <c r="AH88" s="469"/>
      <c r="AI88" s="469"/>
      <c r="AJ88" s="86"/>
    </row>
    <row r="89" spans="1:36">
      <c r="A89" s="85"/>
      <c r="B89" s="469"/>
      <c r="C89" s="469"/>
      <c r="D89" s="469"/>
      <c r="E89" s="469"/>
      <c r="F89" s="86"/>
      <c r="G89" s="85"/>
      <c r="H89" s="469"/>
      <c r="I89" s="469"/>
      <c r="J89" s="469"/>
      <c r="K89" s="469"/>
      <c r="L89" s="86"/>
      <c r="M89" s="85"/>
      <c r="N89" s="469"/>
      <c r="O89" s="469"/>
      <c r="P89" s="469"/>
      <c r="Q89" s="469"/>
      <c r="R89" s="86"/>
      <c r="S89" s="85"/>
      <c r="T89" s="469"/>
      <c r="U89" s="469"/>
      <c r="V89" s="469"/>
      <c r="W89" s="469"/>
      <c r="X89" s="86"/>
      <c r="AE89" s="85"/>
      <c r="AF89" s="469"/>
      <c r="AG89" s="469"/>
      <c r="AH89" s="469"/>
      <c r="AI89" s="469"/>
      <c r="AJ89" s="86"/>
    </row>
    <row r="90" spans="1:36">
      <c r="A90" s="85"/>
      <c r="B90" s="469"/>
      <c r="C90" s="469"/>
      <c r="D90" s="469"/>
      <c r="E90" s="469"/>
      <c r="F90" s="86"/>
      <c r="G90" s="85"/>
      <c r="H90" s="469"/>
      <c r="I90" s="469"/>
      <c r="J90" s="469"/>
      <c r="K90" s="469"/>
      <c r="L90" s="86"/>
      <c r="M90" s="85"/>
      <c r="N90" s="469"/>
      <c r="O90" s="469"/>
      <c r="P90" s="469"/>
      <c r="Q90" s="469"/>
      <c r="R90" s="86"/>
      <c r="S90" s="85"/>
      <c r="T90" s="469"/>
      <c r="U90" s="469"/>
      <c r="V90" s="469"/>
      <c r="W90" s="469"/>
      <c r="X90" s="86"/>
      <c r="AE90" s="85"/>
      <c r="AF90" s="469"/>
      <c r="AG90" s="469"/>
      <c r="AH90" s="469"/>
      <c r="AI90" s="469"/>
      <c r="AJ90" s="86"/>
    </row>
    <row r="91" spans="1:36" ht="15.75" thickBot="1">
      <c r="A91" s="85"/>
      <c r="B91" s="469"/>
      <c r="C91" s="469"/>
      <c r="D91" s="469"/>
      <c r="E91" s="469"/>
      <c r="F91" s="86"/>
      <c r="G91" s="85"/>
      <c r="H91" s="469"/>
      <c r="I91" s="469"/>
      <c r="J91" s="469"/>
      <c r="K91" s="469"/>
      <c r="L91" s="86"/>
      <c r="M91" s="85"/>
      <c r="N91" s="469"/>
      <c r="O91" s="469"/>
      <c r="P91" s="469"/>
      <c r="Q91" s="469"/>
      <c r="R91" s="86"/>
      <c r="S91" s="85"/>
      <c r="T91" s="469"/>
      <c r="U91" s="469"/>
      <c r="V91" s="469"/>
      <c r="W91" s="469"/>
      <c r="X91" s="86"/>
      <c r="AE91" s="85"/>
      <c r="AF91" s="469"/>
      <c r="AG91" s="469"/>
      <c r="AH91" s="469"/>
      <c r="AI91" s="469"/>
      <c r="AJ91" s="86"/>
    </row>
    <row r="92" spans="1:36" ht="21.75" thickBot="1">
      <c r="A92" s="753" t="s">
        <v>20</v>
      </c>
      <c r="B92" s="754"/>
      <c r="C92" s="754"/>
      <c r="D92" s="754"/>
      <c r="E92" s="754"/>
      <c r="F92" s="755"/>
      <c r="G92" s="753" t="s">
        <v>19</v>
      </c>
      <c r="H92" s="754"/>
      <c r="I92" s="754"/>
      <c r="J92" s="754"/>
      <c r="K92" s="754"/>
      <c r="L92" s="755"/>
      <c r="M92" s="753" t="s">
        <v>460</v>
      </c>
      <c r="N92" s="754"/>
      <c r="O92" s="754"/>
      <c r="P92" s="754"/>
      <c r="Q92" s="754"/>
      <c r="R92" s="755"/>
      <c r="S92" s="753" t="s">
        <v>461</v>
      </c>
      <c r="T92" s="754"/>
      <c r="U92" s="754"/>
      <c r="V92" s="754"/>
      <c r="W92" s="754"/>
      <c r="X92" s="755"/>
      <c r="Y92" s="753" t="s">
        <v>462</v>
      </c>
      <c r="Z92" s="754"/>
      <c r="AA92" s="754"/>
      <c r="AB92" s="754"/>
      <c r="AC92" s="754"/>
      <c r="AD92" s="754"/>
      <c r="AE92" s="753" t="s">
        <v>16</v>
      </c>
      <c r="AF92" s="754"/>
      <c r="AG92" s="754"/>
      <c r="AH92" s="754"/>
      <c r="AI92" s="754"/>
      <c r="AJ92" s="755"/>
    </row>
    <row r="93" spans="1:36">
      <c r="A93" s="477"/>
      <c r="B93" s="49"/>
      <c r="C93" s="49"/>
      <c r="D93" s="49"/>
      <c r="E93" s="49"/>
      <c r="F93" s="478"/>
      <c r="G93" s="477"/>
      <c r="H93" s="49"/>
      <c r="I93" s="49"/>
      <c r="J93" s="49"/>
      <c r="K93" s="49"/>
      <c r="L93" s="478"/>
      <c r="M93" s="477"/>
      <c r="N93" s="49"/>
      <c r="O93" s="49"/>
      <c r="P93" s="49"/>
      <c r="Q93" s="49"/>
      <c r="R93" s="478"/>
      <c r="S93" s="477"/>
      <c r="T93" s="49"/>
      <c r="U93" s="49"/>
      <c r="V93" s="49"/>
      <c r="W93" s="49"/>
      <c r="X93" s="478"/>
      <c r="Y93" s="477"/>
      <c r="Z93" s="49"/>
      <c r="AA93" s="49"/>
      <c r="AB93" s="49"/>
      <c r="AC93" s="49"/>
      <c r="AD93" s="478"/>
      <c r="AE93" s="477"/>
      <c r="AF93" s="49"/>
      <c r="AG93" s="49"/>
      <c r="AH93" s="49"/>
      <c r="AI93" s="49"/>
      <c r="AJ93" s="478"/>
    </row>
    <row r="94" spans="1:36">
      <c r="A94" s="85"/>
      <c r="B94" s="469"/>
      <c r="C94" s="469"/>
      <c r="D94" s="469"/>
      <c r="E94" s="469"/>
      <c r="F94" s="86"/>
      <c r="G94" s="85"/>
      <c r="H94" s="469"/>
      <c r="I94" s="469"/>
      <c r="J94" s="469"/>
      <c r="K94" s="469"/>
      <c r="L94" s="86"/>
      <c r="M94" s="85"/>
      <c r="N94" s="469"/>
      <c r="O94" s="469"/>
      <c r="P94" s="469"/>
      <c r="Q94" s="469"/>
      <c r="R94" s="86"/>
      <c r="S94" s="85"/>
      <c r="T94" s="469"/>
      <c r="U94" s="469"/>
      <c r="V94" s="469"/>
      <c r="W94" s="469"/>
      <c r="X94" s="86"/>
      <c r="Y94" s="85"/>
      <c r="Z94" s="469"/>
      <c r="AA94" s="469"/>
      <c r="AB94" s="469"/>
      <c r="AC94" s="469"/>
      <c r="AD94" s="86"/>
      <c r="AE94" s="85"/>
      <c r="AF94" s="469"/>
      <c r="AG94" s="469"/>
      <c r="AH94" s="469"/>
      <c r="AI94" s="469"/>
      <c r="AJ94" s="86"/>
    </row>
    <row r="95" spans="1:36">
      <c r="A95" s="85"/>
      <c r="B95" s="469"/>
      <c r="C95" s="469"/>
      <c r="D95" s="469"/>
      <c r="E95" s="469"/>
      <c r="F95" s="86"/>
      <c r="G95" s="85"/>
      <c r="H95" s="469"/>
      <c r="I95" s="469"/>
      <c r="J95" s="469"/>
      <c r="K95" s="469"/>
      <c r="L95" s="86"/>
      <c r="M95" s="85"/>
      <c r="N95" s="469"/>
      <c r="O95" s="469"/>
      <c r="P95" s="469"/>
      <c r="Q95" s="469"/>
      <c r="R95" s="86"/>
      <c r="S95" s="85"/>
      <c r="T95" s="469"/>
      <c r="U95" s="469"/>
      <c r="V95" s="469"/>
      <c r="W95" s="469"/>
      <c r="X95" s="86"/>
      <c r="Y95" s="85"/>
      <c r="Z95" s="469"/>
      <c r="AA95" s="469"/>
      <c r="AB95" s="469"/>
      <c r="AC95" s="469"/>
      <c r="AD95" s="86"/>
      <c r="AE95" s="85"/>
      <c r="AF95" s="469"/>
      <c r="AG95" s="469"/>
      <c r="AH95" s="469"/>
      <c r="AI95" s="469"/>
      <c r="AJ95" s="86"/>
    </row>
    <row r="96" spans="1:36">
      <c r="A96" s="85"/>
      <c r="B96" s="469"/>
      <c r="C96" s="469"/>
      <c r="D96" s="469"/>
      <c r="E96" s="469"/>
      <c r="F96" s="86"/>
      <c r="G96" s="85"/>
      <c r="H96" s="469"/>
      <c r="I96" s="469"/>
      <c r="J96" s="469"/>
      <c r="K96" s="469"/>
      <c r="L96" s="86"/>
      <c r="M96" s="85"/>
      <c r="N96" s="469"/>
      <c r="O96" s="469"/>
      <c r="P96" s="469"/>
      <c r="Q96" s="469"/>
      <c r="R96" s="86"/>
      <c r="S96" s="85"/>
      <c r="T96" s="469"/>
      <c r="U96" s="469"/>
      <c r="V96" s="469"/>
      <c r="W96" s="469"/>
      <c r="X96" s="86"/>
      <c r="Y96" s="85"/>
      <c r="Z96" s="469"/>
      <c r="AA96" s="469"/>
      <c r="AB96" s="469"/>
      <c r="AC96" s="469"/>
      <c r="AD96" s="86"/>
      <c r="AE96" s="85"/>
      <c r="AF96" s="469"/>
      <c r="AG96" s="469"/>
      <c r="AH96" s="469"/>
      <c r="AI96" s="469"/>
      <c r="AJ96" s="86"/>
    </row>
    <row r="97" spans="1:36">
      <c r="A97" s="85"/>
      <c r="B97" s="469"/>
      <c r="C97" s="469"/>
      <c r="D97" s="469"/>
      <c r="E97" s="469"/>
      <c r="F97" s="86"/>
      <c r="G97" s="85"/>
      <c r="H97" s="469"/>
      <c r="I97" s="469"/>
      <c r="J97" s="469"/>
      <c r="K97" s="469"/>
      <c r="L97" s="86"/>
      <c r="M97" s="85"/>
      <c r="N97" s="469"/>
      <c r="O97" s="469"/>
      <c r="P97" s="469"/>
      <c r="Q97" s="469"/>
      <c r="R97" s="86"/>
      <c r="S97" s="85"/>
      <c r="T97" s="469"/>
      <c r="U97" s="469"/>
      <c r="V97" s="469"/>
      <c r="W97" s="469"/>
      <c r="X97" s="86"/>
      <c r="Y97" s="85"/>
      <c r="Z97" s="469"/>
      <c r="AA97" s="469"/>
      <c r="AB97" s="469"/>
      <c r="AC97" s="469"/>
      <c r="AD97" s="86"/>
      <c r="AE97" s="85"/>
      <c r="AF97" s="469"/>
      <c r="AG97" s="469"/>
      <c r="AH97" s="469"/>
      <c r="AI97" s="469"/>
      <c r="AJ97" s="86"/>
    </row>
    <row r="98" spans="1:36">
      <c r="A98" s="85"/>
      <c r="B98" s="469"/>
      <c r="C98" s="469"/>
      <c r="D98" s="469"/>
      <c r="E98" s="469"/>
      <c r="F98" s="86"/>
      <c r="G98" s="85"/>
      <c r="H98" s="469"/>
      <c r="I98" s="469"/>
      <c r="J98" s="469"/>
      <c r="K98" s="469"/>
      <c r="L98" s="86"/>
      <c r="M98" s="85"/>
      <c r="N98" s="469"/>
      <c r="O98" s="469"/>
      <c r="P98" s="469"/>
      <c r="Q98" s="469"/>
      <c r="R98" s="86"/>
      <c r="S98" s="85"/>
      <c r="T98" s="469"/>
      <c r="U98" s="469"/>
      <c r="V98" s="469"/>
      <c r="W98" s="469"/>
      <c r="X98" s="86"/>
      <c r="Y98" s="85"/>
      <c r="Z98" s="469"/>
      <c r="AA98" s="469"/>
      <c r="AB98" s="469"/>
      <c r="AC98" s="469"/>
      <c r="AD98" s="86"/>
      <c r="AE98" s="85"/>
      <c r="AF98" s="469"/>
      <c r="AG98" s="469"/>
      <c r="AH98" s="469"/>
      <c r="AI98" s="469"/>
      <c r="AJ98" s="86"/>
    </row>
    <row r="99" spans="1:36">
      <c r="A99" s="85"/>
      <c r="B99" s="469"/>
      <c r="C99" s="469"/>
      <c r="D99" s="469"/>
      <c r="E99" s="469"/>
      <c r="F99" s="86"/>
      <c r="G99" s="85"/>
      <c r="H99" s="469"/>
      <c r="I99" s="469"/>
      <c r="J99" s="469"/>
      <c r="K99" s="469"/>
      <c r="L99" s="86"/>
      <c r="M99" s="85"/>
      <c r="N99" s="469"/>
      <c r="O99" s="469"/>
      <c r="P99" s="469"/>
      <c r="Q99" s="469"/>
      <c r="R99" s="86"/>
      <c r="S99" s="85"/>
      <c r="T99" s="469"/>
      <c r="U99" s="469"/>
      <c r="V99" s="469"/>
      <c r="W99" s="469"/>
      <c r="X99" s="86"/>
      <c r="Y99" s="85"/>
      <c r="Z99" s="469"/>
      <c r="AA99" s="469"/>
      <c r="AB99" s="469"/>
      <c r="AC99" s="469"/>
      <c r="AD99" s="86"/>
      <c r="AE99" s="85"/>
      <c r="AF99" s="469"/>
      <c r="AG99" s="469"/>
      <c r="AH99" s="469"/>
      <c r="AI99" s="469"/>
      <c r="AJ99" s="86"/>
    </row>
    <row r="100" spans="1:36">
      <c r="A100" s="85"/>
      <c r="B100" s="469"/>
      <c r="C100" s="469"/>
      <c r="D100" s="469"/>
      <c r="E100" s="469"/>
      <c r="F100" s="86"/>
      <c r="G100" s="85"/>
      <c r="H100" s="469"/>
      <c r="I100" s="469"/>
      <c r="J100" s="469"/>
      <c r="K100" s="469"/>
      <c r="L100" s="86"/>
      <c r="M100" s="85"/>
      <c r="N100" s="469"/>
      <c r="O100" s="469"/>
      <c r="P100" s="469"/>
      <c r="Q100" s="469"/>
      <c r="R100" s="86"/>
      <c r="S100" s="85"/>
      <c r="T100" s="469"/>
      <c r="U100" s="469"/>
      <c r="V100" s="469"/>
      <c r="W100" s="469"/>
      <c r="X100" s="86"/>
      <c r="Y100" s="85"/>
      <c r="Z100" s="469"/>
      <c r="AA100" s="469"/>
      <c r="AB100" s="469"/>
      <c r="AC100" s="469"/>
      <c r="AD100" s="86"/>
      <c r="AE100" s="85"/>
      <c r="AF100" s="469"/>
      <c r="AG100" s="469"/>
      <c r="AH100" s="469"/>
      <c r="AI100" s="469"/>
      <c r="AJ100" s="86"/>
    </row>
    <row r="101" spans="1:36">
      <c r="A101" s="85"/>
      <c r="B101" s="469"/>
      <c r="C101" s="469"/>
      <c r="D101" s="469"/>
      <c r="E101" s="469"/>
      <c r="F101" s="86"/>
      <c r="G101" s="85"/>
      <c r="H101" s="469"/>
      <c r="I101" s="469"/>
      <c r="J101" s="469"/>
      <c r="K101" s="469"/>
      <c r="L101" s="86"/>
      <c r="M101" s="85"/>
      <c r="N101" s="469"/>
      <c r="O101" s="469"/>
      <c r="P101" s="469"/>
      <c r="Q101" s="469"/>
      <c r="R101" s="86"/>
      <c r="S101" s="85"/>
      <c r="T101" s="469"/>
      <c r="U101" s="469"/>
      <c r="V101" s="469"/>
      <c r="W101" s="469"/>
      <c r="X101" s="86"/>
      <c r="Y101" s="85"/>
      <c r="Z101" s="469"/>
      <c r="AA101" s="469"/>
      <c r="AB101" s="469"/>
      <c r="AC101" s="469"/>
      <c r="AD101" s="86"/>
      <c r="AE101" s="85"/>
      <c r="AF101" s="469"/>
      <c r="AG101" s="469"/>
      <c r="AH101" s="469"/>
      <c r="AI101" s="469"/>
      <c r="AJ101" s="86"/>
    </row>
    <row r="102" spans="1:36">
      <c r="A102" s="85"/>
      <c r="B102" s="469"/>
      <c r="C102" s="469"/>
      <c r="D102" s="469"/>
      <c r="E102" s="469"/>
      <c r="F102" s="86"/>
      <c r="G102" s="85"/>
      <c r="H102" s="469"/>
      <c r="I102" s="469"/>
      <c r="J102" s="469"/>
      <c r="K102" s="469"/>
      <c r="L102" s="86"/>
      <c r="M102" s="85"/>
      <c r="N102" s="469"/>
      <c r="O102" s="469"/>
      <c r="P102" s="469"/>
      <c r="Q102" s="469"/>
      <c r="R102" s="86"/>
      <c r="S102" s="85"/>
      <c r="T102" s="469"/>
      <c r="U102" s="469"/>
      <c r="V102" s="469"/>
      <c r="W102" s="469"/>
      <c r="X102" s="86"/>
      <c r="Y102" s="85"/>
      <c r="Z102" s="469"/>
      <c r="AA102" s="469"/>
      <c r="AB102" s="469"/>
      <c r="AC102" s="469"/>
      <c r="AD102" s="86"/>
      <c r="AE102" s="85"/>
      <c r="AF102" s="469"/>
      <c r="AG102" s="469"/>
      <c r="AH102" s="469"/>
      <c r="AI102" s="469"/>
      <c r="AJ102" s="86"/>
    </row>
    <row r="103" spans="1:36">
      <c r="A103" s="85"/>
      <c r="B103" s="469"/>
      <c r="C103" s="469"/>
      <c r="D103" s="469"/>
      <c r="E103" s="469"/>
      <c r="F103" s="86"/>
      <c r="G103" s="85"/>
      <c r="H103" s="469"/>
      <c r="I103" s="469"/>
      <c r="J103" s="469"/>
      <c r="K103" s="469"/>
      <c r="L103" s="86"/>
      <c r="M103" s="85"/>
      <c r="N103" s="469"/>
      <c r="O103" s="469"/>
      <c r="P103" s="469"/>
      <c r="Q103" s="469"/>
      <c r="R103" s="86"/>
      <c r="S103" s="85"/>
      <c r="T103" s="469"/>
      <c r="U103" s="469"/>
      <c r="V103" s="469"/>
      <c r="W103" s="469"/>
      <c r="X103" s="86"/>
      <c r="Y103" s="85"/>
      <c r="Z103" s="469"/>
      <c r="AA103" s="469"/>
      <c r="AB103" s="469"/>
      <c r="AC103" s="469"/>
      <c r="AD103" s="86"/>
      <c r="AE103" s="85"/>
      <c r="AF103" s="469"/>
      <c r="AG103" s="469"/>
      <c r="AH103" s="469"/>
      <c r="AI103" s="469"/>
      <c r="AJ103" s="86"/>
    </row>
    <row r="104" spans="1:36">
      <c r="A104" s="85"/>
      <c r="B104" s="469"/>
      <c r="C104" s="469"/>
      <c r="D104" s="469"/>
      <c r="E104" s="469"/>
      <c r="F104" s="86"/>
      <c r="G104" s="85"/>
      <c r="H104" s="469"/>
      <c r="I104" s="469"/>
      <c r="J104" s="469"/>
      <c r="K104" s="469"/>
      <c r="L104" s="86"/>
      <c r="M104" s="85"/>
      <c r="N104" s="469"/>
      <c r="O104" s="469"/>
      <c r="P104" s="469"/>
      <c r="Q104" s="469"/>
      <c r="R104" s="86"/>
      <c r="S104" s="85"/>
      <c r="T104" s="469"/>
      <c r="U104" s="469"/>
      <c r="V104" s="469"/>
      <c r="W104" s="469"/>
      <c r="X104" s="86"/>
      <c r="Y104" s="85"/>
      <c r="Z104" s="469"/>
      <c r="AA104" s="469"/>
      <c r="AB104" s="469"/>
      <c r="AC104" s="469"/>
      <c r="AD104" s="86"/>
      <c r="AE104" s="85"/>
      <c r="AF104" s="469"/>
      <c r="AG104" s="469"/>
      <c r="AH104" s="469"/>
      <c r="AI104" s="469"/>
      <c r="AJ104" s="86"/>
    </row>
    <row r="105" spans="1:36">
      <c r="A105" s="85"/>
      <c r="B105" s="469"/>
      <c r="C105" s="469"/>
      <c r="D105" s="469"/>
      <c r="E105" s="469"/>
      <c r="F105" s="86"/>
      <c r="G105" s="85"/>
      <c r="H105" s="469"/>
      <c r="I105" s="469"/>
      <c r="J105" s="469"/>
      <c r="K105" s="469"/>
      <c r="L105" s="86"/>
      <c r="M105" s="85"/>
      <c r="N105" s="469"/>
      <c r="O105" s="469"/>
      <c r="P105" s="469"/>
      <c r="Q105" s="469"/>
      <c r="R105" s="86"/>
      <c r="S105" s="85"/>
      <c r="T105" s="469"/>
      <c r="U105" s="469"/>
      <c r="V105" s="469"/>
      <c r="W105" s="469"/>
      <c r="X105" s="86"/>
      <c r="Y105" s="85"/>
      <c r="Z105" s="469"/>
      <c r="AA105" s="469"/>
      <c r="AB105" s="469"/>
      <c r="AC105" s="469"/>
      <c r="AD105" s="86"/>
      <c r="AE105" s="85"/>
      <c r="AF105" s="469"/>
      <c r="AG105" s="469"/>
      <c r="AH105" s="469"/>
      <c r="AI105" s="469"/>
      <c r="AJ105" s="86"/>
    </row>
    <row r="106" spans="1:36">
      <c r="A106" s="85"/>
      <c r="B106" s="469"/>
      <c r="C106" s="469"/>
      <c r="D106" s="469"/>
      <c r="E106" s="469"/>
      <c r="F106" s="86"/>
      <c r="G106" s="85"/>
      <c r="H106" s="469"/>
      <c r="I106" s="469"/>
      <c r="J106" s="469"/>
      <c r="K106" s="469"/>
      <c r="L106" s="86"/>
      <c r="M106" s="85"/>
      <c r="N106" s="469"/>
      <c r="O106" s="469"/>
      <c r="P106" s="469"/>
      <c r="Q106" s="469"/>
      <c r="R106" s="86"/>
      <c r="S106" s="85"/>
      <c r="T106" s="469"/>
      <c r="U106" s="469"/>
      <c r="V106" s="469"/>
      <c r="W106" s="469"/>
      <c r="X106" s="86"/>
      <c r="Y106" s="85"/>
      <c r="Z106" s="469"/>
      <c r="AA106" s="469"/>
      <c r="AB106" s="469"/>
      <c r="AC106" s="469"/>
      <c r="AD106" s="86"/>
      <c r="AE106" s="85"/>
      <c r="AF106" s="469"/>
      <c r="AG106" s="469"/>
      <c r="AH106" s="469"/>
      <c r="AI106" s="469"/>
      <c r="AJ106" s="86"/>
    </row>
    <row r="107" spans="1:36">
      <c r="A107" s="85"/>
      <c r="B107" s="469"/>
      <c r="C107" s="469"/>
      <c r="D107" s="469"/>
      <c r="E107" s="469"/>
      <c r="F107" s="86"/>
      <c r="G107" s="85"/>
      <c r="H107" s="469"/>
      <c r="I107" s="469"/>
      <c r="J107" s="469"/>
      <c r="K107" s="469"/>
      <c r="L107" s="86"/>
      <c r="M107" s="85"/>
      <c r="N107" s="469"/>
      <c r="O107" s="469"/>
      <c r="P107" s="469"/>
      <c r="Q107" s="469"/>
      <c r="R107" s="86"/>
      <c r="S107" s="85"/>
      <c r="T107" s="469"/>
      <c r="U107" s="469"/>
      <c r="V107" s="469"/>
      <c r="W107" s="469"/>
      <c r="X107" s="86"/>
      <c r="Y107" s="85"/>
      <c r="Z107" s="469"/>
      <c r="AA107" s="469"/>
      <c r="AB107" s="469"/>
      <c r="AC107" s="469"/>
      <c r="AD107" s="86"/>
      <c r="AE107" s="85"/>
      <c r="AF107" s="469"/>
      <c r="AG107" s="469"/>
      <c r="AH107" s="469"/>
      <c r="AI107" s="469"/>
      <c r="AJ107" s="86"/>
    </row>
    <row r="108" spans="1:36">
      <c r="A108" s="85"/>
      <c r="B108" s="469"/>
      <c r="C108" s="469"/>
      <c r="D108" s="469"/>
      <c r="E108" s="469"/>
      <c r="F108" s="86"/>
      <c r="G108" s="85"/>
      <c r="H108" s="469"/>
      <c r="I108" s="469"/>
      <c r="J108" s="469"/>
      <c r="K108" s="469"/>
      <c r="L108" s="86"/>
      <c r="M108" s="85"/>
      <c r="N108" s="469"/>
      <c r="O108" s="469"/>
      <c r="P108" s="469"/>
      <c r="Q108" s="469"/>
      <c r="R108" s="86"/>
      <c r="S108" s="85"/>
      <c r="T108" s="469"/>
      <c r="U108" s="469"/>
      <c r="V108" s="469"/>
      <c r="W108" s="469"/>
      <c r="X108" s="86"/>
      <c r="Y108" s="85"/>
      <c r="Z108" s="469"/>
      <c r="AA108" s="469"/>
      <c r="AB108" s="469"/>
      <c r="AC108" s="469"/>
      <c r="AD108" s="86"/>
      <c r="AE108" s="85"/>
      <c r="AF108" s="469"/>
      <c r="AG108" s="469"/>
      <c r="AH108" s="469"/>
      <c r="AI108" s="469"/>
      <c r="AJ108" s="86"/>
    </row>
    <row r="109" spans="1:36">
      <c r="A109" s="85"/>
      <c r="B109" s="469"/>
      <c r="C109" s="469"/>
      <c r="D109" s="469"/>
      <c r="E109" s="469"/>
      <c r="F109" s="86"/>
      <c r="G109" s="85"/>
      <c r="H109" s="469"/>
      <c r="I109" s="469"/>
      <c r="J109" s="469"/>
      <c r="K109" s="469"/>
      <c r="L109" s="86"/>
      <c r="M109" s="85"/>
      <c r="N109" s="469"/>
      <c r="O109" s="469"/>
      <c r="P109" s="469"/>
      <c r="Q109" s="469"/>
      <c r="R109" s="86"/>
      <c r="S109" s="85"/>
      <c r="T109" s="469"/>
      <c r="U109" s="469"/>
      <c r="V109" s="469"/>
      <c r="W109" s="469"/>
      <c r="X109" s="86"/>
      <c r="Y109" s="85"/>
      <c r="Z109" s="469"/>
      <c r="AA109" s="469"/>
      <c r="AB109" s="469"/>
      <c r="AC109" s="469"/>
      <c r="AD109" s="86"/>
      <c r="AE109" s="85"/>
      <c r="AF109" s="469"/>
      <c r="AG109" s="469"/>
      <c r="AH109" s="469"/>
      <c r="AI109" s="469"/>
      <c r="AJ109" s="86"/>
    </row>
    <row r="110" spans="1:36">
      <c r="A110" s="85"/>
      <c r="B110" s="469"/>
      <c r="C110" s="469"/>
      <c r="D110" s="469"/>
      <c r="E110" s="469"/>
      <c r="F110" s="86"/>
      <c r="G110" s="85"/>
      <c r="H110" s="469"/>
      <c r="I110" s="469"/>
      <c r="J110" s="469"/>
      <c r="K110" s="469"/>
      <c r="L110" s="86"/>
      <c r="M110" s="85"/>
      <c r="N110" s="469"/>
      <c r="O110" s="469"/>
      <c r="P110" s="469"/>
      <c r="Q110" s="469"/>
      <c r="R110" s="86"/>
      <c r="S110" s="85"/>
      <c r="T110" s="469"/>
      <c r="U110" s="469"/>
      <c r="V110" s="469"/>
      <c r="W110" s="469"/>
      <c r="X110" s="86"/>
      <c r="Y110" s="85"/>
      <c r="Z110" s="469"/>
      <c r="AA110" s="469"/>
      <c r="AB110" s="469"/>
      <c r="AC110" s="469"/>
      <c r="AD110" s="86"/>
      <c r="AE110" s="85"/>
      <c r="AF110" s="469"/>
      <c r="AG110" s="469"/>
      <c r="AH110" s="469"/>
      <c r="AI110" s="469"/>
      <c r="AJ110" s="86"/>
    </row>
    <row r="111" spans="1:36">
      <c r="A111" s="85"/>
      <c r="B111" s="469"/>
      <c r="C111" s="469"/>
      <c r="D111" s="469"/>
      <c r="E111" s="469"/>
      <c r="F111" s="86"/>
      <c r="G111" s="85"/>
      <c r="H111" s="469"/>
      <c r="I111" s="469"/>
      <c r="J111" s="469"/>
      <c r="K111" s="469"/>
      <c r="L111" s="86"/>
      <c r="M111" s="85"/>
      <c r="N111" s="469"/>
      <c r="O111" s="469"/>
      <c r="P111" s="469"/>
      <c r="Q111" s="469"/>
      <c r="R111" s="86"/>
      <c r="S111" s="85"/>
      <c r="T111" s="469"/>
      <c r="U111" s="469"/>
      <c r="V111" s="469"/>
      <c r="W111" s="469"/>
      <c r="X111" s="86"/>
      <c r="Y111" s="85"/>
      <c r="Z111" s="469"/>
      <c r="AA111" s="469"/>
      <c r="AB111" s="469"/>
      <c r="AC111" s="469"/>
      <c r="AD111" s="86"/>
      <c r="AE111" s="85"/>
      <c r="AF111" s="469"/>
      <c r="AG111" s="469"/>
      <c r="AH111" s="469"/>
      <c r="AI111" s="469"/>
      <c r="AJ111" s="86"/>
    </row>
    <row r="112" spans="1:36">
      <c r="A112" s="85"/>
      <c r="B112" s="469"/>
      <c r="C112" s="469"/>
      <c r="D112" s="469"/>
      <c r="E112" s="469"/>
      <c r="F112" s="86"/>
      <c r="G112" s="85"/>
      <c r="H112" s="469"/>
      <c r="I112" s="469"/>
      <c r="J112" s="469"/>
      <c r="K112" s="469"/>
      <c r="L112" s="86"/>
      <c r="M112" s="85"/>
      <c r="N112" s="469"/>
      <c r="O112" s="469"/>
      <c r="P112" s="469"/>
      <c r="Q112" s="469"/>
      <c r="R112" s="86"/>
      <c r="S112" s="85"/>
      <c r="T112" s="469"/>
      <c r="U112" s="469"/>
      <c r="V112" s="469"/>
      <c r="W112" s="469"/>
      <c r="X112" s="86"/>
      <c r="Y112" s="85"/>
      <c r="Z112" s="469"/>
      <c r="AA112" s="469"/>
      <c r="AB112" s="469"/>
      <c r="AC112" s="469"/>
      <c r="AD112" s="86"/>
      <c r="AE112" s="85"/>
      <c r="AF112" s="469"/>
      <c r="AG112" s="469"/>
      <c r="AH112" s="469"/>
      <c r="AI112" s="469"/>
      <c r="AJ112" s="86"/>
    </row>
    <row r="113" spans="1:36" ht="15.75" thickBot="1">
      <c r="A113" s="85"/>
      <c r="B113" s="469"/>
      <c r="C113" s="469"/>
      <c r="D113" s="469"/>
      <c r="E113" s="469"/>
      <c r="F113" s="86"/>
      <c r="G113" s="85"/>
      <c r="H113" s="469"/>
      <c r="I113" s="469"/>
      <c r="J113" s="469"/>
      <c r="K113" s="469"/>
      <c r="L113" s="86"/>
      <c r="M113" s="85"/>
      <c r="N113" s="469"/>
      <c r="O113" s="469"/>
      <c r="P113" s="469"/>
      <c r="Q113" s="469"/>
      <c r="R113" s="86"/>
      <c r="S113" s="85"/>
      <c r="T113" s="469"/>
      <c r="U113" s="469"/>
      <c r="V113" s="469"/>
      <c r="W113" s="469"/>
      <c r="X113" s="86"/>
      <c r="Y113" s="85"/>
      <c r="Z113" s="469"/>
      <c r="AA113" s="469"/>
      <c r="AB113" s="469"/>
      <c r="AC113" s="469"/>
      <c r="AD113" s="86"/>
      <c r="AE113" s="85"/>
      <c r="AF113" s="469"/>
      <c r="AG113" s="469"/>
      <c r="AH113" s="469"/>
      <c r="AI113" s="469"/>
      <c r="AJ113" s="86"/>
    </row>
    <row r="114" spans="1:36" ht="21.75" thickBot="1">
      <c r="A114" s="753" t="s">
        <v>321</v>
      </c>
      <c r="B114" s="754"/>
      <c r="C114" s="754"/>
      <c r="D114" s="754"/>
      <c r="E114" s="754"/>
      <c r="F114" s="755"/>
      <c r="G114" s="753" t="s">
        <v>463</v>
      </c>
      <c r="H114" s="754"/>
      <c r="I114" s="754"/>
      <c r="J114" s="754"/>
      <c r="K114" s="754"/>
      <c r="L114" s="755"/>
      <c r="M114" s="753" t="s">
        <v>464</v>
      </c>
      <c r="N114" s="754"/>
      <c r="O114" s="754"/>
      <c r="P114" s="754"/>
      <c r="Q114" s="754"/>
      <c r="R114" s="755"/>
      <c r="S114" s="753" t="s">
        <v>465</v>
      </c>
      <c r="T114" s="754"/>
      <c r="U114" s="754"/>
      <c r="V114" s="754"/>
      <c r="W114" s="754"/>
      <c r="X114" s="755"/>
      <c r="Y114" s="753" t="s">
        <v>466</v>
      </c>
      <c r="Z114" s="754"/>
      <c r="AA114" s="754"/>
      <c r="AB114" s="754"/>
      <c r="AC114" s="754"/>
      <c r="AD114" s="755"/>
      <c r="AE114" s="753" t="s">
        <v>467</v>
      </c>
      <c r="AF114" s="754"/>
      <c r="AG114" s="754"/>
      <c r="AH114" s="754"/>
      <c r="AI114" s="754"/>
      <c r="AJ114" s="755"/>
    </row>
    <row r="115" spans="1:36">
      <c r="A115" s="477"/>
      <c r="B115" s="49"/>
      <c r="C115" s="49"/>
      <c r="D115" s="49"/>
      <c r="E115" s="49"/>
      <c r="F115" s="478"/>
      <c r="G115" s="477"/>
      <c r="H115" s="49"/>
      <c r="I115" s="49"/>
      <c r="J115" s="49"/>
      <c r="K115" s="49"/>
      <c r="L115" s="478"/>
      <c r="M115" s="477"/>
      <c r="N115" s="49"/>
      <c r="O115" s="49"/>
      <c r="P115" s="49"/>
      <c r="Q115" s="49"/>
      <c r="R115" s="478"/>
      <c r="S115" s="477"/>
      <c r="T115" s="49"/>
      <c r="U115" s="49"/>
      <c r="V115" s="49"/>
      <c r="W115" s="49"/>
      <c r="X115" s="478"/>
      <c r="Y115" s="477"/>
      <c r="Z115" s="49"/>
      <c r="AA115" s="49"/>
      <c r="AB115" s="49"/>
      <c r="AC115" s="49"/>
      <c r="AD115" s="478"/>
      <c r="AE115" s="477"/>
      <c r="AF115" s="49"/>
      <c r="AG115" s="49"/>
      <c r="AH115" s="49"/>
      <c r="AI115" s="49"/>
      <c r="AJ115" s="478"/>
    </row>
    <row r="116" spans="1:36">
      <c r="A116" s="85"/>
      <c r="B116" s="469"/>
      <c r="C116" s="469"/>
      <c r="D116" s="469"/>
      <c r="E116" s="469"/>
      <c r="F116" s="86"/>
      <c r="G116" s="85"/>
      <c r="H116" s="469"/>
      <c r="I116" s="469"/>
      <c r="J116" s="469"/>
      <c r="K116" s="469"/>
      <c r="L116" s="86"/>
      <c r="M116" s="85"/>
      <c r="N116" s="469"/>
      <c r="O116" s="469"/>
      <c r="P116" s="469"/>
      <c r="Q116" s="469"/>
      <c r="R116" s="86"/>
      <c r="S116" s="85"/>
      <c r="T116" s="469"/>
      <c r="U116" s="469"/>
      <c r="V116" s="469"/>
      <c r="W116" s="469"/>
      <c r="X116" s="86"/>
      <c r="Y116" s="85"/>
      <c r="Z116" s="469"/>
      <c r="AA116" s="469"/>
      <c r="AB116" s="469"/>
      <c r="AC116" s="469"/>
      <c r="AD116" s="86"/>
      <c r="AE116" s="85"/>
      <c r="AF116" s="469"/>
      <c r="AG116" s="469"/>
      <c r="AH116" s="469"/>
      <c r="AI116" s="469"/>
      <c r="AJ116" s="86"/>
    </row>
    <row r="117" spans="1:36">
      <c r="A117" s="85"/>
      <c r="B117" s="469"/>
      <c r="C117" s="469"/>
      <c r="D117" s="469"/>
      <c r="E117" s="469"/>
      <c r="F117" s="86"/>
      <c r="G117" s="85"/>
      <c r="H117" s="469"/>
      <c r="I117" s="469"/>
      <c r="J117" s="469"/>
      <c r="K117" s="469"/>
      <c r="L117" s="86"/>
      <c r="M117" s="85"/>
      <c r="N117" s="469"/>
      <c r="O117" s="469"/>
      <c r="P117" s="469"/>
      <c r="Q117" s="469"/>
      <c r="R117" s="86"/>
      <c r="S117" s="85"/>
      <c r="T117" s="469"/>
      <c r="U117" s="469"/>
      <c r="V117" s="469"/>
      <c r="W117" s="469"/>
      <c r="X117" s="86"/>
      <c r="Y117" s="85"/>
      <c r="Z117" s="469"/>
      <c r="AA117" s="469"/>
      <c r="AB117" s="469"/>
      <c r="AC117" s="469"/>
      <c r="AD117" s="86"/>
      <c r="AE117" s="85"/>
      <c r="AF117" s="469"/>
      <c r="AG117" s="469"/>
      <c r="AH117" s="469"/>
      <c r="AI117" s="469"/>
      <c r="AJ117" s="86"/>
    </row>
    <row r="118" spans="1:36">
      <c r="A118" s="85"/>
      <c r="B118" s="469"/>
      <c r="C118" s="469"/>
      <c r="D118" s="469"/>
      <c r="E118" s="469"/>
      <c r="F118" s="86"/>
      <c r="G118" s="85"/>
      <c r="H118" s="469"/>
      <c r="I118" s="469"/>
      <c r="J118" s="469"/>
      <c r="K118" s="469"/>
      <c r="L118" s="86"/>
      <c r="M118" s="85"/>
      <c r="N118" s="469"/>
      <c r="O118" s="469"/>
      <c r="P118" s="469"/>
      <c r="Q118" s="469"/>
      <c r="R118" s="86"/>
      <c r="S118" s="85"/>
      <c r="T118" s="469"/>
      <c r="U118" s="469"/>
      <c r="V118" s="469"/>
      <c r="W118" s="469"/>
      <c r="X118" s="86"/>
      <c r="Y118" s="85"/>
      <c r="Z118" s="469"/>
      <c r="AA118" s="469"/>
      <c r="AB118" s="469"/>
      <c r="AC118" s="469"/>
      <c r="AD118" s="86"/>
      <c r="AE118" s="85"/>
      <c r="AF118" s="469"/>
      <c r="AG118" s="469"/>
      <c r="AH118" s="469"/>
      <c r="AI118" s="469"/>
      <c r="AJ118" s="86"/>
    </row>
    <row r="119" spans="1:36">
      <c r="A119" s="85"/>
      <c r="B119" s="469"/>
      <c r="C119" s="469"/>
      <c r="D119" s="469"/>
      <c r="E119" s="469"/>
      <c r="F119" s="86"/>
      <c r="G119" s="85"/>
      <c r="H119" s="469"/>
      <c r="I119" s="469"/>
      <c r="J119" s="469"/>
      <c r="K119" s="469"/>
      <c r="L119" s="86"/>
      <c r="M119" s="85"/>
      <c r="N119" s="469"/>
      <c r="O119" s="469"/>
      <c r="P119" s="469"/>
      <c r="Q119" s="469"/>
      <c r="R119" s="86"/>
      <c r="S119" s="85"/>
      <c r="T119" s="469"/>
      <c r="U119" s="469"/>
      <c r="V119" s="469"/>
      <c r="W119" s="469"/>
      <c r="X119" s="86"/>
      <c r="Y119" s="85"/>
      <c r="Z119" s="469"/>
      <c r="AA119" s="469"/>
      <c r="AB119" s="469"/>
      <c r="AC119" s="469"/>
      <c r="AD119" s="86"/>
      <c r="AE119" s="85"/>
      <c r="AF119" s="469"/>
      <c r="AG119" s="469"/>
      <c r="AH119" s="469"/>
      <c r="AI119" s="469"/>
      <c r="AJ119" s="86"/>
    </row>
    <row r="120" spans="1:36">
      <c r="A120" s="85"/>
      <c r="B120" s="469"/>
      <c r="C120" s="469"/>
      <c r="D120" s="469"/>
      <c r="E120" s="469"/>
      <c r="F120" s="86"/>
      <c r="G120" s="85"/>
      <c r="H120" s="469"/>
      <c r="I120" s="469"/>
      <c r="J120" s="469"/>
      <c r="K120" s="469"/>
      <c r="L120" s="86"/>
      <c r="M120" s="85"/>
      <c r="N120" s="469"/>
      <c r="O120" s="469"/>
      <c r="P120" s="469"/>
      <c r="Q120" s="469"/>
      <c r="R120" s="86"/>
      <c r="S120" s="85"/>
      <c r="T120" s="469"/>
      <c r="U120" s="469"/>
      <c r="V120" s="469"/>
      <c r="W120" s="469"/>
      <c r="X120" s="86"/>
      <c r="Y120" s="85"/>
      <c r="Z120" s="469"/>
      <c r="AA120" s="469"/>
      <c r="AB120" s="469"/>
      <c r="AC120" s="469"/>
      <c r="AD120" s="86"/>
      <c r="AE120" s="85"/>
      <c r="AF120" s="469"/>
      <c r="AG120" s="469"/>
      <c r="AH120" s="469"/>
      <c r="AI120" s="469"/>
      <c r="AJ120" s="86"/>
    </row>
    <row r="121" spans="1:36">
      <c r="A121" s="85"/>
      <c r="B121" s="469"/>
      <c r="C121" s="469"/>
      <c r="D121" s="469"/>
      <c r="E121" s="469"/>
      <c r="F121" s="86"/>
      <c r="G121" s="85"/>
      <c r="H121" s="469"/>
      <c r="I121" s="469"/>
      <c r="J121" s="469"/>
      <c r="K121" s="469"/>
      <c r="L121" s="86"/>
      <c r="M121" s="85"/>
      <c r="N121" s="469"/>
      <c r="O121" s="469"/>
      <c r="P121" s="469"/>
      <c r="Q121" s="469"/>
      <c r="R121" s="86"/>
      <c r="S121" s="85"/>
      <c r="T121" s="469"/>
      <c r="U121" s="469"/>
      <c r="V121" s="469"/>
      <c r="W121" s="469"/>
      <c r="X121" s="86"/>
      <c r="Y121" s="85"/>
      <c r="Z121" s="469"/>
      <c r="AA121" s="469"/>
      <c r="AB121" s="469"/>
      <c r="AC121" s="469"/>
      <c r="AD121" s="86"/>
      <c r="AE121" s="85"/>
      <c r="AF121" s="469"/>
      <c r="AG121" s="469"/>
      <c r="AH121" s="469"/>
      <c r="AI121" s="469"/>
      <c r="AJ121" s="86"/>
    </row>
    <row r="122" spans="1:36">
      <c r="A122" s="85"/>
      <c r="B122" s="469"/>
      <c r="C122" s="469"/>
      <c r="D122" s="469"/>
      <c r="E122" s="469"/>
      <c r="F122" s="86"/>
      <c r="G122" s="85"/>
      <c r="H122" s="469"/>
      <c r="I122" s="469"/>
      <c r="J122" s="469"/>
      <c r="K122" s="469"/>
      <c r="L122" s="86"/>
      <c r="M122" s="85"/>
      <c r="N122" s="469"/>
      <c r="O122" s="469"/>
      <c r="P122" s="469"/>
      <c r="Q122" s="469"/>
      <c r="R122" s="86"/>
      <c r="S122" s="85"/>
      <c r="T122" s="469"/>
      <c r="U122" s="469"/>
      <c r="V122" s="469"/>
      <c r="W122" s="469"/>
      <c r="X122" s="86"/>
      <c r="Y122" s="85"/>
      <c r="Z122" s="469"/>
      <c r="AA122" s="469"/>
      <c r="AB122" s="469"/>
      <c r="AC122" s="469"/>
      <c r="AD122" s="86"/>
      <c r="AE122" s="85"/>
      <c r="AF122" s="469"/>
      <c r="AG122" s="469"/>
      <c r="AH122" s="469"/>
      <c r="AI122" s="469"/>
      <c r="AJ122" s="86"/>
    </row>
    <row r="123" spans="1:36">
      <c r="A123" s="85"/>
      <c r="B123" s="469"/>
      <c r="C123" s="469"/>
      <c r="D123" s="469"/>
      <c r="E123" s="469"/>
      <c r="F123" s="86"/>
      <c r="G123" s="85"/>
      <c r="H123" s="469"/>
      <c r="I123" s="469"/>
      <c r="J123" s="469"/>
      <c r="K123" s="469"/>
      <c r="L123" s="86"/>
      <c r="M123" s="85"/>
      <c r="N123" s="469"/>
      <c r="O123" s="469"/>
      <c r="P123" s="469"/>
      <c r="Q123" s="469"/>
      <c r="R123" s="86"/>
      <c r="S123" s="85"/>
      <c r="T123" s="469"/>
      <c r="U123" s="469"/>
      <c r="V123" s="469"/>
      <c r="W123" s="469"/>
      <c r="X123" s="86"/>
      <c r="Y123" s="85"/>
      <c r="Z123" s="469"/>
      <c r="AA123" s="469"/>
      <c r="AB123" s="469"/>
      <c r="AC123" s="469"/>
      <c r="AD123" s="86"/>
      <c r="AE123" s="85"/>
      <c r="AF123" s="469"/>
      <c r="AG123" s="469"/>
      <c r="AH123" s="469"/>
      <c r="AI123" s="469"/>
      <c r="AJ123" s="86"/>
    </row>
    <row r="124" spans="1:36">
      <c r="A124" s="85"/>
      <c r="B124" s="469"/>
      <c r="C124" s="469"/>
      <c r="D124" s="469"/>
      <c r="E124" s="469"/>
      <c r="F124" s="86"/>
      <c r="G124" s="85"/>
      <c r="H124" s="469"/>
      <c r="I124" s="469"/>
      <c r="J124" s="469"/>
      <c r="K124" s="469"/>
      <c r="L124" s="86"/>
      <c r="M124" s="85"/>
      <c r="N124" s="469"/>
      <c r="O124" s="469"/>
      <c r="P124" s="469"/>
      <c r="Q124" s="469"/>
      <c r="R124" s="86"/>
      <c r="S124" s="85"/>
      <c r="T124" s="469"/>
      <c r="U124" s="469"/>
      <c r="V124" s="469"/>
      <c r="W124" s="469"/>
      <c r="X124" s="86"/>
      <c r="Y124" s="85"/>
      <c r="Z124" s="469"/>
      <c r="AA124" s="469"/>
      <c r="AB124" s="469"/>
      <c r="AC124" s="469"/>
      <c r="AD124" s="86"/>
      <c r="AE124" s="85"/>
      <c r="AF124" s="469"/>
      <c r="AG124" s="469"/>
      <c r="AH124" s="469"/>
      <c r="AI124" s="469"/>
      <c r="AJ124" s="86"/>
    </row>
    <row r="125" spans="1:36">
      <c r="A125" s="85"/>
      <c r="B125" s="469"/>
      <c r="C125" s="469"/>
      <c r="D125" s="469"/>
      <c r="E125" s="469"/>
      <c r="F125" s="86"/>
      <c r="G125" s="85"/>
      <c r="H125" s="469"/>
      <c r="I125" s="469"/>
      <c r="J125" s="469"/>
      <c r="K125" s="469"/>
      <c r="L125" s="86"/>
      <c r="M125" s="85"/>
      <c r="N125" s="469"/>
      <c r="O125" s="469"/>
      <c r="P125" s="469"/>
      <c r="Q125" s="469"/>
      <c r="R125" s="86"/>
      <c r="S125" s="85"/>
      <c r="T125" s="469"/>
      <c r="U125" s="469"/>
      <c r="V125" s="469"/>
      <c r="W125" s="469"/>
      <c r="X125" s="86"/>
      <c r="Y125" s="85"/>
      <c r="Z125" s="469"/>
      <c r="AA125" s="469"/>
      <c r="AB125" s="469"/>
      <c r="AC125" s="469"/>
      <c r="AD125" s="86"/>
      <c r="AE125" s="85"/>
      <c r="AF125" s="469"/>
      <c r="AG125" s="469"/>
      <c r="AH125" s="469"/>
      <c r="AI125" s="469"/>
      <c r="AJ125" s="86"/>
    </row>
    <row r="126" spans="1:36">
      <c r="A126" s="85"/>
      <c r="B126" s="469"/>
      <c r="C126" s="469"/>
      <c r="D126" s="469"/>
      <c r="E126" s="469"/>
      <c r="F126" s="86"/>
      <c r="G126" s="85"/>
      <c r="H126" s="469"/>
      <c r="I126" s="469"/>
      <c r="J126" s="469"/>
      <c r="K126" s="469"/>
      <c r="L126" s="86"/>
      <c r="M126" s="85"/>
      <c r="N126" s="469"/>
      <c r="O126" s="469"/>
      <c r="P126" s="469"/>
      <c r="Q126" s="469"/>
      <c r="R126" s="86"/>
      <c r="S126" s="85"/>
      <c r="T126" s="469"/>
      <c r="U126" s="469"/>
      <c r="V126" s="469"/>
      <c r="W126" s="469"/>
      <c r="X126" s="86"/>
      <c r="Y126" s="85"/>
      <c r="Z126" s="469"/>
      <c r="AA126" s="469"/>
      <c r="AB126" s="469"/>
      <c r="AC126" s="469"/>
      <c r="AD126" s="86"/>
      <c r="AE126" s="85"/>
      <c r="AF126" s="469"/>
      <c r="AG126" s="469"/>
      <c r="AH126" s="469"/>
      <c r="AI126" s="469"/>
      <c r="AJ126" s="86"/>
    </row>
    <row r="127" spans="1:36">
      <c r="A127" s="85"/>
      <c r="B127" s="469"/>
      <c r="C127" s="469"/>
      <c r="D127" s="469"/>
      <c r="E127" s="469"/>
      <c r="F127" s="86"/>
      <c r="G127" s="85"/>
      <c r="H127" s="469"/>
      <c r="I127" s="469"/>
      <c r="J127" s="469"/>
      <c r="K127" s="469"/>
      <c r="L127" s="86"/>
      <c r="M127" s="85"/>
      <c r="N127" s="469"/>
      <c r="O127" s="469"/>
      <c r="P127" s="469"/>
      <c r="Q127" s="469"/>
      <c r="R127" s="86"/>
      <c r="S127" s="85"/>
      <c r="T127" s="469"/>
      <c r="U127" s="469"/>
      <c r="V127" s="469"/>
      <c r="W127" s="469"/>
      <c r="X127" s="86"/>
      <c r="Y127" s="85"/>
      <c r="Z127" s="469"/>
      <c r="AA127" s="469"/>
      <c r="AB127" s="469"/>
      <c r="AC127" s="469"/>
      <c r="AD127" s="86"/>
      <c r="AE127" s="85"/>
      <c r="AF127" s="469"/>
      <c r="AG127" s="469"/>
      <c r="AH127" s="469"/>
      <c r="AI127" s="469"/>
      <c r="AJ127" s="86"/>
    </row>
    <row r="128" spans="1:36">
      <c r="A128" s="85"/>
      <c r="B128" s="469"/>
      <c r="C128" s="469"/>
      <c r="D128" s="469"/>
      <c r="E128" s="469"/>
      <c r="F128" s="86"/>
      <c r="G128" s="85"/>
      <c r="H128" s="469"/>
      <c r="I128" s="469"/>
      <c r="J128" s="469"/>
      <c r="K128" s="469"/>
      <c r="L128" s="86"/>
      <c r="M128" s="85"/>
      <c r="N128" s="469"/>
      <c r="O128" s="469"/>
      <c r="P128" s="469"/>
      <c r="Q128" s="469"/>
      <c r="R128" s="86"/>
      <c r="S128" s="85"/>
      <c r="T128" s="469"/>
      <c r="U128" s="469"/>
      <c r="V128" s="469"/>
      <c r="W128" s="469"/>
      <c r="X128" s="86"/>
      <c r="Y128" s="85"/>
      <c r="Z128" s="469"/>
      <c r="AA128" s="469"/>
      <c r="AB128" s="469"/>
      <c r="AC128" s="469"/>
      <c r="AD128" s="86"/>
      <c r="AE128" s="85"/>
      <c r="AF128" s="469"/>
      <c r="AG128" s="469"/>
      <c r="AH128" s="469"/>
      <c r="AI128" s="469"/>
      <c r="AJ128" s="86"/>
    </row>
    <row r="129" spans="1:36">
      <c r="A129" s="85"/>
      <c r="B129" s="469"/>
      <c r="C129" s="469"/>
      <c r="D129" s="469"/>
      <c r="E129" s="469"/>
      <c r="F129" s="86"/>
      <c r="G129" s="85"/>
      <c r="H129" s="469"/>
      <c r="I129" s="469"/>
      <c r="J129" s="469"/>
      <c r="K129" s="469"/>
      <c r="L129" s="86"/>
      <c r="M129" s="85"/>
      <c r="N129" s="469"/>
      <c r="O129" s="469"/>
      <c r="P129" s="469"/>
      <c r="Q129" s="469"/>
      <c r="R129" s="86"/>
      <c r="S129" s="85"/>
      <c r="T129" s="469"/>
      <c r="U129" s="469"/>
      <c r="V129" s="469"/>
      <c r="W129" s="469"/>
      <c r="X129" s="86"/>
      <c r="Y129" s="85"/>
      <c r="Z129" s="469"/>
      <c r="AA129" s="469"/>
      <c r="AB129" s="469"/>
      <c r="AC129" s="469"/>
      <c r="AD129" s="86"/>
      <c r="AE129" s="85"/>
      <c r="AF129" s="469"/>
      <c r="AG129" s="469"/>
      <c r="AH129" s="469"/>
      <c r="AI129" s="469"/>
      <c r="AJ129" s="86"/>
    </row>
    <row r="130" spans="1:36">
      <c r="A130" s="85"/>
      <c r="B130" s="469"/>
      <c r="C130" s="469"/>
      <c r="D130" s="469"/>
      <c r="E130" s="469"/>
      <c r="F130" s="86"/>
      <c r="G130" s="85"/>
      <c r="H130" s="469"/>
      <c r="I130" s="469"/>
      <c r="J130" s="469"/>
      <c r="K130" s="469"/>
      <c r="L130" s="86"/>
      <c r="M130" s="85"/>
      <c r="N130" s="469"/>
      <c r="O130" s="469"/>
      <c r="P130" s="469"/>
      <c r="Q130" s="469"/>
      <c r="R130" s="86"/>
      <c r="S130" s="85"/>
      <c r="T130" s="469"/>
      <c r="U130" s="469"/>
      <c r="V130" s="469"/>
      <c r="W130" s="469"/>
      <c r="X130" s="86"/>
      <c r="Y130" s="85"/>
      <c r="Z130" s="469"/>
      <c r="AA130" s="469"/>
      <c r="AB130" s="469"/>
      <c r="AC130" s="469"/>
      <c r="AD130" s="86"/>
      <c r="AE130" s="85"/>
      <c r="AF130" s="469"/>
      <c r="AG130" s="469"/>
      <c r="AH130" s="469"/>
      <c r="AI130" s="469"/>
      <c r="AJ130" s="86"/>
    </row>
    <row r="131" spans="1:36">
      <c r="A131" s="85"/>
      <c r="B131" s="469"/>
      <c r="C131" s="469"/>
      <c r="D131" s="469"/>
      <c r="E131" s="469"/>
      <c r="F131" s="86"/>
      <c r="G131" s="85"/>
      <c r="H131" s="469"/>
      <c r="I131" s="469"/>
      <c r="J131" s="469"/>
      <c r="K131" s="469"/>
      <c r="L131" s="86"/>
      <c r="M131" s="85"/>
      <c r="N131" s="469"/>
      <c r="O131" s="469"/>
      <c r="P131" s="469"/>
      <c r="Q131" s="469"/>
      <c r="R131" s="86"/>
      <c r="S131" s="85"/>
      <c r="T131" s="469"/>
      <c r="U131" s="469"/>
      <c r="V131" s="469"/>
      <c r="W131" s="469"/>
      <c r="X131" s="86"/>
      <c r="Y131" s="85"/>
      <c r="Z131" s="469"/>
      <c r="AA131" s="469"/>
      <c r="AB131" s="469"/>
      <c r="AC131" s="469"/>
      <c r="AD131" s="86"/>
      <c r="AE131" s="85"/>
      <c r="AF131" s="469"/>
      <c r="AG131" s="469"/>
      <c r="AH131" s="469"/>
      <c r="AI131" s="469"/>
      <c r="AJ131" s="86"/>
    </row>
    <row r="132" spans="1:36">
      <c r="A132" s="85"/>
      <c r="B132" s="469"/>
      <c r="C132" s="469"/>
      <c r="D132" s="469"/>
      <c r="E132" s="469"/>
      <c r="F132" s="86"/>
      <c r="G132" s="85"/>
      <c r="H132" s="469"/>
      <c r="I132" s="469"/>
      <c r="J132" s="469"/>
      <c r="K132" s="469"/>
      <c r="L132" s="86"/>
      <c r="M132" s="85"/>
      <c r="N132" s="469"/>
      <c r="O132" s="469"/>
      <c r="P132" s="469"/>
      <c r="Q132" s="469"/>
      <c r="R132" s="86"/>
      <c r="S132" s="85"/>
      <c r="T132" s="469"/>
      <c r="U132" s="469"/>
      <c r="V132" s="469"/>
      <c r="W132" s="469"/>
      <c r="X132" s="86"/>
      <c r="Y132" s="85"/>
      <c r="Z132" s="469"/>
      <c r="AA132" s="469"/>
      <c r="AB132" s="469"/>
      <c r="AC132" s="469"/>
      <c r="AD132" s="86"/>
      <c r="AE132" s="85"/>
      <c r="AF132" s="469"/>
      <c r="AG132" s="469"/>
      <c r="AH132" s="469"/>
      <c r="AI132" s="469"/>
      <c r="AJ132" s="86"/>
    </row>
    <row r="133" spans="1:36">
      <c r="A133" s="85"/>
      <c r="B133" s="469"/>
      <c r="C133" s="469"/>
      <c r="D133" s="469"/>
      <c r="E133" s="469"/>
      <c r="F133" s="86"/>
      <c r="G133" s="85"/>
      <c r="H133" s="469"/>
      <c r="I133" s="469"/>
      <c r="J133" s="469"/>
      <c r="K133" s="469"/>
      <c r="L133" s="86"/>
      <c r="M133" s="85"/>
      <c r="N133" s="469"/>
      <c r="O133" s="469"/>
      <c r="P133" s="469"/>
      <c r="Q133" s="469"/>
      <c r="R133" s="86"/>
      <c r="S133" s="85"/>
      <c r="T133" s="469"/>
      <c r="U133" s="469"/>
      <c r="V133" s="469"/>
      <c r="W133" s="469"/>
      <c r="X133" s="86"/>
      <c r="Y133" s="85"/>
      <c r="Z133" s="469"/>
      <c r="AA133" s="469"/>
      <c r="AB133" s="469"/>
      <c r="AC133" s="469"/>
      <c r="AD133" s="86"/>
      <c r="AE133" s="85"/>
      <c r="AF133" s="469"/>
      <c r="AG133" s="469"/>
      <c r="AH133" s="469"/>
      <c r="AI133" s="469"/>
      <c r="AJ133" s="86"/>
    </row>
    <row r="134" spans="1:36">
      <c r="A134" s="85"/>
      <c r="B134" s="469"/>
      <c r="C134" s="469"/>
      <c r="D134" s="469"/>
      <c r="E134" s="469"/>
      <c r="F134" s="86"/>
      <c r="G134" s="85"/>
      <c r="H134" s="469"/>
      <c r="I134" s="469"/>
      <c r="J134" s="469"/>
      <c r="K134" s="469"/>
      <c r="L134" s="86"/>
      <c r="M134" s="85"/>
      <c r="N134" s="469"/>
      <c r="O134" s="469"/>
      <c r="P134" s="469"/>
      <c r="Q134" s="469"/>
      <c r="R134" s="86"/>
      <c r="S134" s="85"/>
      <c r="T134" s="469"/>
      <c r="U134" s="469"/>
      <c r="V134" s="469"/>
      <c r="W134" s="469"/>
      <c r="X134" s="86"/>
      <c r="Y134" s="85"/>
      <c r="Z134" s="469"/>
      <c r="AA134" s="469"/>
      <c r="AB134" s="469"/>
      <c r="AC134" s="469"/>
      <c r="AD134" s="86"/>
      <c r="AE134" s="85"/>
      <c r="AF134" s="469"/>
      <c r="AG134" s="469"/>
      <c r="AH134" s="469"/>
      <c r="AI134" s="469"/>
      <c r="AJ134" s="86"/>
    </row>
    <row r="135" spans="1:36" ht="15.75" thickBot="1">
      <c r="A135" s="85"/>
      <c r="B135" s="469"/>
      <c r="C135" s="469"/>
      <c r="D135" s="469"/>
      <c r="E135" s="469"/>
      <c r="F135" s="86"/>
      <c r="G135" s="85"/>
      <c r="H135" s="469"/>
      <c r="I135" s="469"/>
      <c r="J135" s="469"/>
      <c r="K135" s="469"/>
      <c r="L135" s="86"/>
      <c r="M135" s="85"/>
      <c r="N135" s="469"/>
      <c r="O135" s="469"/>
      <c r="P135" s="469"/>
      <c r="Q135" s="469"/>
      <c r="R135" s="86"/>
      <c r="S135" s="85"/>
      <c r="T135" s="469"/>
      <c r="U135" s="469"/>
      <c r="V135" s="469"/>
      <c r="W135" s="469"/>
      <c r="X135" s="86"/>
      <c r="Y135" s="85"/>
      <c r="Z135" s="469"/>
      <c r="AA135" s="469"/>
      <c r="AB135" s="469"/>
      <c r="AC135" s="469"/>
      <c r="AD135" s="86"/>
      <c r="AE135" s="85"/>
      <c r="AF135" s="469"/>
      <c r="AG135" s="469"/>
      <c r="AH135" s="469"/>
      <c r="AI135" s="469"/>
      <c r="AJ135" s="86"/>
    </row>
    <row r="136" spans="1:36" ht="21.75" thickBot="1">
      <c r="A136" s="753" t="s">
        <v>468</v>
      </c>
      <c r="B136" s="754"/>
      <c r="C136" s="754"/>
      <c r="D136" s="754"/>
      <c r="E136" s="754"/>
      <c r="F136" s="755"/>
      <c r="G136" s="753" t="s">
        <v>469</v>
      </c>
      <c r="H136" s="754"/>
      <c r="I136" s="754"/>
      <c r="J136" s="754"/>
      <c r="K136" s="754"/>
      <c r="L136" s="755"/>
      <c r="M136" s="753" t="s">
        <v>470</v>
      </c>
      <c r="N136" s="754"/>
      <c r="O136" s="754"/>
      <c r="P136" s="754"/>
      <c r="Q136" s="754"/>
      <c r="R136" s="755"/>
      <c r="S136" s="753" t="s">
        <v>471</v>
      </c>
      <c r="T136" s="754"/>
      <c r="U136" s="754"/>
      <c r="V136" s="754"/>
      <c r="W136" s="754"/>
      <c r="X136" s="755"/>
      <c r="Y136" s="753" t="s">
        <v>472</v>
      </c>
      <c r="Z136" s="754"/>
      <c r="AA136" s="754"/>
      <c r="AB136" s="754"/>
      <c r="AC136" s="754"/>
      <c r="AD136" s="755"/>
      <c r="AE136" s="756" t="s">
        <v>473</v>
      </c>
      <c r="AF136" s="757"/>
      <c r="AG136" s="757"/>
      <c r="AH136" s="757"/>
      <c r="AI136" s="757"/>
      <c r="AJ136" s="758"/>
    </row>
    <row r="137" spans="1:36">
      <c r="A137" s="477"/>
      <c r="B137" s="49"/>
      <c r="C137" s="49"/>
      <c r="D137" s="49"/>
      <c r="E137" s="49"/>
      <c r="F137" s="478"/>
      <c r="G137" s="477"/>
      <c r="H137" s="49"/>
      <c r="I137" s="49"/>
      <c r="J137" s="49"/>
      <c r="K137" s="49"/>
      <c r="L137" s="478"/>
      <c r="M137" s="477"/>
      <c r="N137" s="49"/>
      <c r="O137" s="49"/>
      <c r="P137" s="49"/>
      <c r="Q137" s="49"/>
      <c r="R137" s="478"/>
    </row>
    <row r="138" spans="1:36">
      <c r="A138" s="85"/>
      <c r="B138" s="469"/>
      <c r="C138" s="469"/>
      <c r="D138" s="469"/>
      <c r="E138" s="469"/>
      <c r="F138" s="86"/>
      <c r="G138" s="85"/>
      <c r="H138" s="469"/>
      <c r="I138" s="469"/>
      <c r="J138" s="469"/>
      <c r="K138" s="469"/>
      <c r="L138" s="86"/>
      <c r="M138" s="85"/>
      <c r="N138" s="469"/>
      <c r="O138" s="469"/>
      <c r="P138" s="469"/>
      <c r="Q138" s="469"/>
      <c r="R138" s="86"/>
    </row>
    <row r="139" spans="1:36">
      <c r="A139" s="85"/>
      <c r="B139" s="469"/>
      <c r="C139" s="469"/>
      <c r="D139" s="469"/>
      <c r="E139" s="469"/>
      <c r="F139" s="86"/>
      <c r="G139" s="85"/>
      <c r="H139" s="469"/>
      <c r="I139" s="469"/>
      <c r="J139" s="469"/>
      <c r="K139" s="469"/>
      <c r="L139" s="86"/>
      <c r="M139" s="85"/>
      <c r="N139" s="469"/>
      <c r="O139" s="469"/>
      <c r="P139" s="469"/>
      <c r="Q139" s="469"/>
      <c r="R139" s="86"/>
    </row>
    <row r="140" spans="1:36">
      <c r="A140" s="85"/>
      <c r="B140" s="469"/>
      <c r="C140" s="469"/>
      <c r="D140" s="469"/>
      <c r="E140" s="469"/>
      <c r="F140" s="86"/>
      <c r="G140" s="85"/>
      <c r="H140" s="469"/>
      <c r="I140" s="469"/>
      <c r="J140" s="469"/>
      <c r="K140" s="469"/>
      <c r="L140" s="86"/>
      <c r="M140" s="85"/>
      <c r="N140" s="469"/>
      <c r="O140" s="469"/>
      <c r="P140" s="469"/>
      <c r="Q140" s="469"/>
      <c r="R140" s="86"/>
    </row>
    <row r="141" spans="1:36">
      <c r="A141" s="85"/>
      <c r="B141" s="469"/>
      <c r="C141" s="469"/>
      <c r="D141" s="469"/>
      <c r="E141" s="469"/>
      <c r="F141" s="86"/>
      <c r="G141" s="85"/>
      <c r="H141" s="469"/>
      <c r="I141" s="469"/>
      <c r="J141" s="469"/>
      <c r="K141" s="469"/>
      <c r="L141" s="86"/>
      <c r="M141" s="85"/>
      <c r="N141" s="469"/>
      <c r="O141" s="469"/>
      <c r="P141" s="469"/>
      <c r="Q141" s="469"/>
      <c r="R141" s="86"/>
    </row>
    <row r="142" spans="1:36">
      <c r="A142" s="85"/>
      <c r="B142" s="469"/>
      <c r="C142" s="469"/>
      <c r="D142" s="469"/>
      <c r="E142" s="469"/>
      <c r="F142" s="86"/>
      <c r="G142" s="85"/>
      <c r="H142" s="469"/>
      <c r="I142" s="469"/>
      <c r="J142" s="469"/>
      <c r="K142" s="469"/>
      <c r="L142" s="86"/>
      <c r="M142" s="85"/>
      <c r="N142" s="469"/>
      <c r="O142" s="469"/>
      <c r="P142" s="469"/>
      <c r="Q142" s="469"/>
      <c r="R142" s="86"/>
    </row>
    <row r="143" spans="1:36">
      <c r="A143" s="85"/>
      <c r="B143" s="469"/>
      <c r="C143" s="469"/>
      <c r="D143" s="469"/>
      <c r="E143" s="469"/>
      <c r="F143" s="86"/>
      <c r="G143" s="85"/>
      <c r="H143" s="469"/>
      <c r="I143" s="469"/>
      <c r="J143" s="469"/>
      <c r="K143" s="469"/>
      <c r="L143" s="86"/>
      <c r="M143" s="85"/>
      <c r="N143" s="469"/>
      <c r="O143" s="469"/>
      <c r="P143" s="469"/>
      <c r="Q143" s="469"/>
      <c r="R143" s="86"/>
    </row>
    <row r="144" spans="1:36">
      <c r="A144" s="85"/>
      <c r="B144" s="469"/>
      <c r="C144" s="469"/>
      <c r="D144" s="469"/>
      <c r="E144" s="469"/>
      <c r="F144" s="86"/>
      <c r="G144" s="85"/>
      <c r="H144" s="469"/>
      <c r="I144" s="469"/>
      <c r="J144" s="469"/>
      <c r="K144" s="469"/>
      <c r="L144" s="86"/>
      <c r="M144" s="85"/>
      <c r="N144" s="469"/>
      <c r="O144" s="469"/>
      <c r="P144" s="469"/>
      <c r="Q144" s="469"/>
      <c r="R144" s="86"/>
    </row>
    <row r="145" spans="1:18">
      <c r="A145" s="85"/>
      <c r="B145" s="469"/>
      <c r="C145" s="469"/>
      <c r="D145" s="469"/>
      <c r="E145" s="469"/>
      <c r="F145" s="86"/>
      <c r="G145" s="85"/>
      <c r="H145" s="469"/>
      <c r="I145" s="469"/>
      <c r="J145" s="469"/>
      <c r="K145" s="469"/>
      <c r="L145" s="86"/>
      <c r="M145" s="85"/>
      <c r="N145" s="469"/>
      <c r="O145" s="469"/>
      <c r="P145" s="469"/>
      <c r="Q145" s="469"/>
      <c r="R145" s="86"/>
    </row>
    <row r="146" spans="1:18">
      <c r="A146" s="85"/>
      <c r="B146" s="469"/>
      <c r="C146" s="469"/>
      <c r="D146" s="469"/>
      <c r="E146" s="469"/>
      <c r="F146" s="86"/>
      <c r="G146" s="85"/>
      <c r="H146" s="469"/>
      <c r="I146" s="469"/>
      <c r="J146" s="469"/>
      <c r="K146" s="469"/>
      <c r="L146" s="86"/>
      <c r="M146" s="85"/>
      <c r="N146" s="469"/>
      <c r="O146" s="469"/>
      <c r="P146" s="469"/>
      <c r="Q146" s="469"/>
      <c r="R146" s="86"/>
    </row>
    <row r="147" spans="1:18">
      <c r="A147" s="85"/>
      <c r="B147" s="469"/>
      <c r="C147" s="469"/>
      <c r="D147" s="469"/>
      <c r="E147" s="469"/>
      <c r="F147" s="86"/>
      <c r="G147" s="85"/>
      <c r="H147" s="469"/>
      <c r="I147" s="469"/>
      <c r="J147" s="469"/>
      <c r="K147" s="469"/>
      <c r="L147" s="86"/>
      <c r="M147" s="85"/>
      <c r="N147" s="469"/>
      <c r="O147" s="469"/>
      <c r="P147" s="469"/>
      <c r="Q147" s="469"/>
      <c r="R147" s="86"/>
    </row>
    <row r="148" spans="1:18">
      <c r="A148" s="85"/>
      <c r="B148" s="469"/>
      <c r="C148" s="469"/>
      <c r="D148" s="469"/>
      <c r="E148" s="469"/>
      <c r="F148" s="86"/>
      <c r="G148" s="85"/>
      <c r="H148" s="469"/>
      <c r="I148" s="469"/>
      <c r="J148" s="469"/>
      <c r="K148" s="469"/>
      <c r="L148" s="86"/>
      <c r="M148" s="85"/>
      <c r="N148" s="469"/>
      <c r="O148" s="469"/>
      <c r="P148" s="469"/>
      <c r="Q148" s="469"/>
      <c r="R148" s="86"/>
    </row>
    <row r="149" spans="1:18">
      <c r="A149" s="85"/>
      <c r="B149" s="469"/>
      <c r="C149" s="469"/>
      <c r="D149" s="469"/>
      <c r="E149" s="469"/>
      <c r="F149" s="86"/>
      <c r="G149" s="85"/>
      <c r="H149" s="469"/>
      <c r="I149" s="469"/>
      <c r="J149" s="469"/>
      <c r="K149" s="469"/>
      <c r="L149" s="86"/>
      <c r="M149" s="85"/>
      <c r="N149" s="469"/>
      <c r="O149" s="469"/>
      <c r="P149" s="469"/>
      <c r="Q149" s="469"/>
      <c r="R149" s="86"/>
    </row>
    <row r="150" spans="1:18">
      <c r="A150" s="85"/>
      <c r="B150" s="469"/>
      <c r="C150" s="469"/>
      <c r="D150" s="469"/>
      <c r="E150" s="469"/>
      <c r="F150" s="86"/>
      <c r="G150" s="85"/>
      <c r="H150" s="469"/>
      <c r="I150" s="469"/>
      <c r="J150" s="469"/>
      <c r="K150" s="469"/>
      <c r="L150" s="86"/>
      <c r="M150" s="85"/>
      <c r="N150" s="469"/>
      <c r="O150" s="469"/>
      <c r="P150" s="469"/>
      <c r="Q150" s="469"/>
      <c r="R150" s="86"/>
    </row>
    <row r="151" spans="1:18">
      <c r="A151" s="85"/>
      <c r="B151" s="469"/>
      <c r="C151" s="469"/>
      <c r="D151" s="469"/>
      <c r="E151" s="469"/>
      <c r="F151" s="86"/>
      <c r="G151" s="85"/>
      <c r="H151" s="469"/>
      <c r="I151" s="469"/>
      <c r="J151" s="469"/>
      <c r="K151" s="469"/>
      <c r="L151" s="86"/>
      <c r="M151" s="85"/>
      <c r="N151" s="469"/>
      <c r="O151" s="469"/>
      <c r="P151" s="469"/>
      <c r="Q151" s="469"/>
      <c r="R151" s="86"/>
    </row>
    <row r="152" spans="1:18">
      <c r="A152" s="85"/>
      <c r="B152" s="469"/>
      <c r="C152" s="469"/>
      <c r="D152" s="469"/>
      <c r="E152" s="469"/>
      <c r="F152" s="86"/>
      <c r="G152" s="85"/>
      <c r="H152" s="469"/>
      <c r="I152" s="469"/>
      <c r="J152" s="469"/>
      <c r="K152" s="469"/>
      <c r="L152" s="86"/>
      <c r="M152" s="85"/>
      <c r="N152" s="469"/>
      <c r="O152" s="469"/>
      <c r="P152" s="469"/>
      <c r="Q152" s="469"/>
      <c r="R152" s="86"/>
    </row>
    <row r="153" spans="1:18">
      <c r="A153" s="85"/>
      <c r="B153" s="469"/>
      <c r="C153" s="469"/>
      <c r="D153" s="469"/>
      <c r="E153" s="469"/>
      <c r="F153" s="86"/>
      <c r="G153" s="85"/>
      <c r="H153" s="469"/>
      <c r="I153" s="469"/>
      <c r="J153" s="469"/>
      <c r="K153" s="469"/>
      <c r="L153" s="86"/>
      <c r="M153" s="85"/>
      <c r="N153" s="469"/>
      <c r="O153" s="469"/>
      <c r="P153" s="469"/>
      <c r="Q153" s="469"/>
      <c r="R153" s="86"/>
    </row>
    <row r="154" spans="1:18">
      <c r="A154" s="85"/>
      <c r="B154" s="469"/>
      <c r="C154" s="469"/>
      <c r="D154" s="469"/>
      <c r="E154" s="469"/>
      <c r="F154" s="86"/>
      <c r="G154" s="85"/>
      <c r="H154" s="469"/>
      <c r="I154" s="469"/>
      <c r="J154" s="469"/>
      <c r="K154" s="469"/>
      <c r="L154" s="86"/>
      <c r="M154" s="85"/>
      <c r="N154" s="469"/>
      <c r="O154" s="469"/>
      <c r="P154" s="469"/>
      <c r="Q154" s="469"/>
      <c r="R154" s="86"/>
    </row>
    <row r="155" spans="1:18">
      <c r="A155" s="85"/>
      <c r="B155" s="469"/>
      <c r="C155" s="469"/>
      <c r="D155" s="469"/>
      <c r="E155" s="469"/>
      <c r="F155" s="86"/>
      <c r="G155" s="85"/>
      <c r="H155" s="469"/>
      <c r="I155" s="469"/>
      <c r="J155" s="469"/>
      <c r="K155" s="469"/>
      <c r="L155" s="86"/>
      <c r="M155" s="85"/>
      <c r="N155" s="469"/>
      <c r="O155" s="469"/>
      <c r="P155" s="469"/>
      <c r="Q155" s="469"/>
      <c r="R155" s="86"/>
    </row>
    <row r="156" spans="1:18">
      <c r="A156" s="85"/>
      <c r="B156" s="469"/>
      <c r="C156" s="469"/>
      <c r="D156" s="469"/>
      <c r="E156" s="469"/>
      <c r="F156" s="86"/>
      <c r="G156" s="85"/>
      <c r="H156" s="469"/>
      <c r="I156" s="469"/>
      <c r="J156" s="469"/>
      <c r="K156" s="469"/>
      <c r="L156" s="86"/>
      <c r="M156" s="85"/>
      <c r="N156" s="469"/>
      <c r="O156" s="469"/>
      <c r="P156" s="469"/>
      <c r="Q156" s="469"/>
      <c r="R156" s="86"/>
    </row>
    <row r="157" spans="1:18" ht="15.75" thickBot="1">
      <c r="A157" s="85"/>
      <c r="B157" s="469"/>
      <c r="C157" s="469"/>
      <c r="D157" s="469"/>
      <c r="E157" s="469"/>
      <c r="F157" s="86"/>
      <c r="G157" s="85"/>
      <c r="H157" s="469"/>
      <c r="I157" s="469"/>
      <c r="J157" s="469"/>
      <c r="K157" s="469"/>
      <c r="L157" s="86"/>
      <c r="M157" s="85"/>
      <c r="N157" s="469"/>
      <c r="O157" s="469"/>
      <c r="P157" s="469"/>
      <c r="Q157" s="469"/>
      <c r="R157" s="86"/>
    </row>
    <row r="158" spans="1:18" ht="21.75" thickBot="1">
      <c r="A158" s="753" t="s">
        <v>474</v>
      </c>
      <c r="B158" s="754"/>
      <c r="C158" s="754"/>
      <c r="D158" s="754"/>
      <c r="E158" s="754"/>
      <c r="F158" s="755"/>
      <c r="G158" s="753" t="s">
        <v>475</v>
      </c>
      <c r="H158" s="754"/>
      <c r="I158" s="754"/>
      <c r="J158" s="754"/>
      <c r="K158" s="754"/>
      <c r="L158" s="755"/>
      <c r="M158" s="753" t="s">
        <v>476</v>
      </c>
      <c r="N158" s="754"/>
      <c r="O158" s="754"/>
      <c r="P158" s="754"/>
      <c r="Q158" s="754"/>
      <c r="R158" s="755"/>
    </row>
  </sheetData>
  <sheetProtection algorithmName="SHA-512" hashValue="EdDRV4ujhV8djFKQl4sIRCFf07Ypqvs1FdYIDBKMXxCNg+wL+BMewCGeGrCYyVIJ7ftHS4c7Yk73L/yaoFZAVQ==" saltValue="sjIZ5DQtRB8hK89gW12wGg==" spinCount="100000" sheet="1"/>
  <mergeCells count="41">
    <mergeCell ref="N1:S1"/>
    <mergeCell ref="A26:F26"/>
    <mergeCell ref="G26:L26"/>
    <mergeCell ref="M26:R26"/>
    <mergeCell ref="J2:W2"/>
    <mergeCell ref="S26:X26"/>
    <mergeCell ref="Y26:AD26"/>
    <mergeCell ref="AE26:AJ26"/>
    <mergeCell ref="A48:F48"/>
    <mergeCell ref="G48:L48"/>
    <mergeCell ref="M48:R48"/>
    <mergeCell ref="S48:X48"/>
    <mergeCell ref="Y48:AD48"/>
    <mergeCell ref="AE48:AJ48"/>
    <mergeCell ref="AE92:AJ92"/>
    <mergeCell ref="A70:F70"/>
    <mergeCell ref="G70:L70"/>
    <mergeCell ref="M70:R70"/>
    <mergeCell ref="S70:X70"/>
    <mergeCell ref="Y70:AD70"/>
    <mergeCell ref="AE70:AJ70"/>
    <mergeCell ref="A92:F92"/>
    <mergeCell ref="G92:L92"/>
    <mergeCell ref="M92:R92"/>
    <mergeCell ref="S92:X92"/>
    <mergeCell ref="Y92:AD92"/>
    <mergeCell ref="S136:X136"/>
    <mergeCell ref="Y136:AD136"/>
    <mergeCell ref="AE136:AJ136"/>
    <mergeCell ref="A114:F114"/>
    <mergeCell ref="G114:L114"/>
    <mergeCell ref="M114:R114"/>
    <mergeCell ref="S114:X114"/>
    <mergeCell ref="Y114:AD114"/>
    <mergeCell ref="AE114:AJ114"/>
    <mergeCell ref="A158:F158"/>
    <mergeCell ref="G158:L158"/>
    <mergeCell ref="M158:R158"/>
    <mergeCell ref="A136:F136"/>
    <mergeCell ref="G136:L136"/>
    <mergeCell ref="M136:R136"/>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31"/>
  <sheetViews>
    <sheetView workbookViewId="0">
      <selection activeCell="F13" sqref="F13"/>
    </sheetView>
  </sheetViews>
  <sheetFormatPr defaultRowHeight="15"/>
  <cols>
    <col min="1" max="1" width="39.85546875" customWidth="1"/>
    <col min="2" max="2" width="30.5703125" customWidth="1"/>
    <col min="3" max="3" width="25.28515625" customWidth="1"/>
  </cols>
  <sheetData>
    <row r="1" spans="1:5" ht="15.75" thickBot="1"/>
    <row r="2" spans="1:5" ht="15.75" thickBot="1">
      <c r="A2" s="761" t="s">
        <v>505</v>
      </c>
      <c r="B2" s="762"/>
      <c r="C2" s="763"/>
      <c r="E2" t="s">
        <v>480</v>
      </c>
    </row>
    <row r="3" spans="1:5" ht="15.75" thickBot="1">
      <c r="A3" s="465" t="s">
        <v>477</v>
      </c>
      <c r="B3" s="465" t="s">
        <v>478</v>
      </c>
      <c r="C3" s="465" t="s">
        <v>479</v>
      </c>
      <c r="E3" t="s">
        <v>481</v>
      </c>
    </row>
    <row r="4" spans="1:5">
      <c r="A4" s="479" t="s">
        <v>169</v>
      </c>
      <c r="B4" s="201" t="s">
        <v>482</v>
      </c>
      <c r="C4" s="282" t="s">
        <v>488</v>
      </c>
    </row>
    <row r="5" spans="1:5">
      <c r="A5" s="467" t="s">
        <v>178</v>
      </c>
      <c r="B5" s="468" t="s">
        <v>483</v>
      </c>
      <c r="C5" s="283" t="s">
        <v>489</v>
      </c>
    </row>
    <row r="6" spans="1:5">
      <c r="A6" s="467" t="s">
        <v>170</v>
      </c>
      <c r="B6" s="468" t="s">
        <v>484</v>
      </c>
      <c r="C6" s="283" t="s">
        <v>493</v>
      </c>
    </row>
    <row r="7" spans="1:5">
      <c r="A7" s="467" t="s">
        <v>179</v>
      </c>
      <c r="B7" s="468" t="s">
        <v>486</v>
      </c>
      <c r="C7" s="283" t="s">
        <v>490</v>
      </c>
    </row>
    <row r="8" spans="1:5">
      <c r="A8" s="467" t="s">
        <v>171</v>
      </c>
      <c r="B8" s="468" t="s">
        <v>483</v>
      </c>
      <c r="C8" s="283" t="s">
        <v>489</v>
      </c>
    </row>
    <row r="9" spans="1:5">
      <c r="A9" s="467" t="s">
        <v>180</v>
      </c>
      <c r="B9" s="468" t="s">
        <v>487</v>
      </c>
      <c r="C9" s="283" t="s">
        <v>492</v>
      </c>
    </row>
    <row r="10" spans="1:5">
      <c r="A10" s="467" t="s">
        <v>172</v>
      </c>
      <c r="B10" s="468" t="s">
        <v>487</v>
      </c>
      <c r="C10" s="283" t="s">
        <v>492</v>
      </c>
    </row>
    <row r="11" spans="1:5">
      <c r="A11" s="467" t="s">
        <v>173</v>
      </c>
      <c r="B11" s="468" t="s">
        <v>483</v>
      </c>
      <c r="C11" s="283" t="s">
        <v>489</v>
      </c>
    </row>
    <row r="12" spans="1:5">
      <c r="A12" s="467" t="s">
        <v>290</v>
      </c>
      <c r="B12" s="468" t="s">
        <v>483</v>
      </c>
      <c r="C12" s="283" t="s">
        <v>494</v>
      </c>
    </row>
    <row r="13" spans="1:5" ht="15.75" thickBot="1">
      <c r="A13" s="480" t="s">
        <v>174</v>
      </c>
      <c r="B13" s="481" t="s">
        <v>487</v>
      </c>
      <c r="C13" s="482" t="s">
        <v>492</v>
      </c>
    </row>
    <row r="14" spans="1:5">
      <c r="A14" s="483" t="s">
        <v>37</v>
      </c>
      <c r="B14" s="484" t="s">
        <v>485</v>
      </c>
      <c r="C14" s="485" t="s">
        <v>491</v>
      </c>
    </row>
    <row r="15" spans="1:5">
      <c r="A15" s="486" t="s">
        <v>114</v>
      </c>
      <c r="B15" s="487" t="s">
        <v>485</v>
      </c>
      <c r="C15" s="488" t="s">
        <v>495</v>
      </c>
    </row>
    <row r="16" spans="1:5">
      <c r="A16" s="486" t="s">
        <v>258</v>
      </c>
      <c r="B16" s="487" t="s">
        <v>485</v>
      </c>
      <c r="C16" s="488" t="s">
        <v>491</v>
      </c>
    </row>
    <row r="17" spans="1:3">
      <c r="A17" s="486" t="s">
        <v>291</v>
      </c>
      <c r="B17" s="487" t="s">
        <v>485</v>
      </c>
      <c r="C17" s="488" t="s">
        <v>497</v>
      </c>
    </row>
    <row r="18" spans="1:3">
      <c r="A18" s="486" t="s">
        <v>36</v>
      </c>
      <c r="B18" s="487" t="s">
        <v>485</v>
      </c>
      <c r="C18" s="488" t="s">
        <v>491</v>
      </c>
    </row>
    <row r="19" spans="1:3">
      <c r="A19" s="486" t="s">
        <v>115</v>
      </c>
      <c r="B19" s="487" t="s">
        <v>485</v>
      </c>
      <c r="C19" s="488" t="s">
        <v>495</v>
      </c>
    </row>
    <row r="20" spans="1:3">
      <c r="A20" s="486" t="s">
        <v>259</v>
      </c>
      <c r="B20" s="487" t="s">
        <v>485</v>
      </c>
      <c r="C20" s="488" t="s">
        <v>491</v>
      </c>
    </row>
    <row r="21" spans="1:3">
      <c r="A21" s="486" t="s">
        <v>292</v>
      </c>
      <c r="B21" s="487" t="s">
        <v>485</v>
      </c>
      <c r="C21" s="488" t="s">
        <v>495</v>
      </c>
    </row>
    <row r="22" spans="1:3">
      <c r="A22" s="486" t="s">
        <v>293</v>
      </c>
      <c r="B22" s="487" t="s">
        <v>485</v>
      </c>
      <c r="C22" s="488" t="s">
        <v>491</v>
      </c>
    </row>
    <row r="23" spans="1:3">
      <c r="A23" s="486" t="s">
        <v>294</v>
      </c>
      <c r="B23" s="487" t="s">
        <v>485</v>
      </c>
      <c r="C23" s="488" t="s">
        <v>497</v>
      </c>
    </row>
    <row r="24" spans="1:3">
      <c r="A24" s="486" t="s">
        <v>260</v>
      </c>
      <c r="B24" s="487" t="s">
        <v>485</v>
      </c>
      <c r="C24" s="488" t="s">
        <v>496</v>
      </c>
    </row>
    <row r="25" spans="1:3">
      <c r="A25" s="486" t="s">
        <v>261</v>
      </c>
      <c r="B25" s="487" t="s">
        <v>485</v>
      </c>
      <c r="C25" s="488" t="s">
        <v>491</v>
      </c>
    </row>
    <row r="26" spans="1:3" ht="15.75" thickBot="1">
      <c r="A26" s="489" t="s">
        <v>295</v>
      </c>
      <c r="B26" s="490" t="s">
        <v>485</v>
      </c>
      <c r="C26" s="491" t="s">
        <v>496</v>
      </c>
    </row>
    <row r="27" spans="1:3">
      <c r="A27" s="483" t="s">
        <v>498</v>
      </c>
      <c r="B27" s="484" t="s">
        <v>485</v>
      </c>
      <c r="C27" s="485" t="s">
        <v>491</v>
      </c>
    </row>
    <row r="28" spans="1:3">
      <c r="A28" s="486" t="s">
        <v>499</v>
      </c>
      <c r="B28" s="487" t="s">
        <v>485</v>
      </c>
      <c r="C28" s="488" t="s">
        <v>491</v>
      </c>
    </row>
    <row r="29" spans="1:3">
      <c r="A29" s="486" t="s">
        <v>500</v>
      </c>
      <c r="B29" s="487" t="s">
        <v>504</v>
      </c>
      <c r="C29" s="488" t="s">
        <v>503</v>
      </c>
    </row>
    <row r="30" spans="1:3">
      <c r="A30" s="486" t="s">
        <v>501</v>
      </c>
      <c r="B30" s="487" t="s">
        <v>504</v>
      </c>
      <c r="C30" s="488" t="s">
        <v>503</v>
      </c>
    </row>
    <row r="31" spans="1:3" ht="15.75" thickBot="1">
      <c r="A31" s="492" t="s">
        <v>502</v>
      </c>
      <c r="B31" s="493" t="s">
        <v>504</v>
      </c>
      <c r="C31" s="494" t="s">
        <v>503</v>
      </c>
    </row>
  </sheetData>
  <sheetProtection algorithmName="SHA-512" hashValue="ai3POtW/Qqyku1GH0uqfDLpZ772Y60Po6FvyxRvFsC3U+kh/DA2J6itATDV6rFQ1o48Ts/StWK+DQaOxyIJI6A==" saltValue="lnfYJX2+u6E+jWN5+ICi9g==" spinCount="100000" sheet="1" objects="1" scenarios="1"/>
  <mergeCells count="1">
    <mergeCell ref="A2:C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E6:S41"/>
  <sheetViews>
    <sheetView showGridLines="0" showRowColHeaders="0" topLeftCell="A4" zoomScale="78" zoomScaleNormal="78" workbookViewId="0">
      <selection activeCell="U30" sqref="U30"/>
    </sheetView>
  </sheetViews>
  <sheetFormatPr defaultColWidth="10.85546875" defaultRowHeight="15"/>
  <cols>
    <col min="1" max="8" width="10.85546875" style="400"/>
    <col min="9" max="9" width="9.7109375" style="400" customWidth="1"/>
    <col min="10" max="13" width="10.85546875" style="400"/>
    <col min="14" max="14" width="13.85546875" style="400" customWidth="1"/>
    <col min="15" max="16384" width="10.85546875" style="400"/>
  </cols>
  <sheetData>
    <row r="6" spans="5:19" ht="45">
      <c r="J6" s="764" t="s">
        <v>409</v>
      </c>
      <c r="K6" s="764"/>
      <c r="L6" s="764"/>
      <c r="M6" s="764"/>
      <c r="N6" s="764"/>
    </row>
    <row r="9" spans="5:19" ht="30" customHeight="1">
      <c r="I9" s="766" t="s">
        <v>410</v>
      </c>
      <c r="J9" s="766"/>
      <c r="K9" s="766"/>
      <c r="L9" s="766"/>
      <c r="M9" s="766"/>
      <c r="N9" s="766"/>
      <c r="O9" s="766"/>
    </row>
    <row r="12" spans="5:19" ht="18" customHeight="1">
      <c r="E12" s="769" t="s">
        <v>411</v>
      </c>
      <c r="F12" s="769"/>
      <c r="G12" s="769"/>
      <c r="H12" s="769"/>
      <c r="I12" s="769"/>
      <c r="J12" s="769"/>
      <c r="K12" s="769"/>
      <c r="L12" s="769"/>
      <c r="M12" s="769"/>
      <c r="N12" s="769"/>
      <c r="O12" s="769"/>
      <c r="P12" s="769"/>
      <c r="Q12" s="769"/>
      <c r="R12" s="769"/>
      <c r="S12" s="769"/>
    </row>
    <row r="13" spans="5:19" ht="15" customHeight="1">
      <c r="E13" s="769"/>
      <c r="F13" s="769"/>
      <c r="G13" s="769"/>
      <c r="H13" s="769"/>
      <c r="I13" s="769"/>
      <c r="J13" s="769"/>
      <c r="K13" s="769"/>
      <c r="L13" s="769"/>
      <c r="M13" s="769"/>
      <c r="N13" s="769"/>
      <c r="O13" s="769"/>
      <c r="P13" s="769"/>
      <c r="Q13" s="769"/>
      <c r="R13" s="769"/>
      <c r="S13" s="769"/>
    </row>
    <row r="14" spans="5:19" ht="15" customHeight="1">
      <c r="E14" s="769"/>
      <c r="F14" s="769"/>
      <c r="G14" s="769"/>
      <c r="H14" s="769"/>
      <c r="I14" s="769"/>
      <c r="J14" s="769"/>
      <c r="K14" s="769"/>
      <c r="L14" s="769"/>
      <c r="M14" s="769"/>
      <c r="N14" s="769"/>
      <c r="O14" s="769"/>
      <c r="P14" s="769"/>
      <c r="Q14" s="769"/>
      <c r="R14" s="769"/>
      <c r="S14" s="769"/>
    </row>
    <row r="15" spans="5:19">
      <c r="E15" s="769"/>
      <c r="F15" s="769"/>
      <c r="G15" s="769"/>
      <c r="H15" s="769"/>
      <c r="I15" s="769"/>
      <c r="J15" s="769"/>
      <c r="K15" s="769"/>
      <c r="L15" s="769"/>
      <c r="M15" s="769"/>
      <c r="N15" s="769"/>
      <c r="O15" s="769"/>
      <c r="P15" s="769"/>
      <c r="Q15" s="769"/>
      <c r="R15" s="769"/>
      <c r="S15" s="769"/>
    </row>
    <row r="17" spans="5:19" ht="15" customHeight="1">
      <c r="E17" s="768" t="s">
        <v>412</v>
      </c>
      <c r="F17" s="768"/>
      <c r="G17" s="768"/>
      <c r="H17" s="768"/>
      <c r="I17" s="768"/>
      <c r="J17" s="768"/>
      <c r="K17" s="768"/>
      <c r="L17" s="768"/>
      <c r="M17" s="768"/>
      <c r="N17" s="768"/>
      <c r="O17" s="768"/>
      <c r="P17" s="768"/>
      <c r="Q17" s="768"/>
      <c r="R17" s="768"/>
      <c r="S17" s="768"/>
    </row>
    <row r="18" spans="5:19" ht="15" customHeight="1">
      <c r="E18" s="768"/>
      <c r="F18" s="768"/>
      <c r="G18" s="768"/>
      <c r="H18" s="768"/>
      <c r="I18" s="768"/>
      <c r="J18" s="768"/>
      <c r="K18" s="768"/>
      <c r="L18" s="768"/>
      <c r="M18" s="768"/>
      <c r="N18" s="768"/>
      <c r="O18" s="768"/>
      <c r="P18" s="768"/>
      <c r="Q18" s="768"/>
      <c r="R18" s="768"/>
      <c r="S18" s="768"/>
    </row>
    <row r="19" spans="5:19" ht="15" customHeight="1">
      <c r="E19" s="768"/>
      <c r="F19" s="768"/>
      <c r="G19" s="768"/>
      <c r="H19" s="768"/>
      <c r="I19" s="768"/>
      <c r="J19" s="768"/>
      <c r="K19" s="768"/>
      <c r="L19" s="768"/>
      <c r="M19" s="768"/>
      <c r="N19" s="768"/>
      <c r="O19" s="768"/>
      <c r="P19" s="768"/>
      <c r="Q19" s="768"/>
      <c r="R19" s="768"/>
      <c r="S19" s="768"/>
    </row>
    <row r="20" spans="5:19" ht="15" customHeight="1">
      <c r="E20" s="768"/>
      <c r="F20" s="768"/>
      <c r="G20" s="768"/>
      <c r="H20" s="768"/>
      <c r="I20" s="768"/>
      <c r="J20" s="768"/>
      <c r="K20" s="768"/>
      <c r="L20" s="768"/>
      <c r="M20" s="768"/>
      <c r="N20" s="768"/>
      <c r="O20" s="768"/>
      <c r="P20" s="768"/>
      <c r="Q20" s="768"/>
      <c r="R20" s="768"/>
      <c r="S20" s="768"/>
    </row>
    <row r="21" spans="5:19" ht="15" customHeight="1">
      <c r="E21" s="768"/>
      <c r="F21" s="768"/>
      <c r="G21" s="768"/>
      <c r="H21" s="768"/>
      <c r="I21" s="768"/>
      <c r="J21" s="768"/>
      <c r="K21" s="768"/>
      <c r="L21" s="768"/>
      <c r="M21" s="768"/>
      <c r="N21" s="768"/>
      <c r="O21" s="768"/>
      <c r="P21" s="768"/>
      <c r="Q21" s="768"/>
      <c r="R21" s="768"/>
      <c r="S21" s="768"/>
    </row>
    <row r="22" spans="5:19" ht="15" customHeight="1">
      <c r="E22" s="768"/>
      <c r="F22" s="768"/>
      <c r="G22" s="768"/>
      <c r="H22" s="768"/>
      <c r="I22" s="768"/>
      <c r="J22" s="768"/>
      <c r="K22" s="768"/>
      <c r="L22" s="768"/>
      <c r="M22" s="768"/>
      <c r="N22" s="768"/>
      <c r="O22" s="768"/>
      <c r="P22" s="768"/>
      <c r="Q22" s="768"/>
      <c r="R22" s="768"/>
      <c r="S22" s="768"/>
    </row>
    <row r="23" spans="5:19" ht="15" customHeight="1">
      <c r="E23" s="768"/>
      <c r="F23" s="768"/>
      <c r="G23" s="768"/>
      <c r="H23" s="768"/>
      <c r="I23" s="768"/>
      <c r="J23" s="768"/>
      <c r="K23" s="768"/>
      <c r="L23" s="768"/>
      <c r="M23" s="768"/>
      <c r="N23" s="768"/>
      <c r="O23" s="768"/>
      <c r="P23" s="768"/>
      <c r="Q23" s="768"/>
      <c r="R23" s="768"/>
      <c r="S23" s="768"/>
    </row>
    <row r="24" spans="5:19" ht="15" customHeight="1">
      <c r="E24" s="768"/>
      <c r="F24" s="768"/>
      <c r="G24" s="768"/>
      <c r="H24" s="768"/>
      <c r="I24" s="768"/>
      <c r="J24" s="768"/>
      <c r="K24" s="768"/>
      <c r="L24" s="768"/>
      <c r="M24" s="768"/>
      <c r="N24" s="768"/>
      <c r="O24" s="768"/>
      <c r="P24" s="768"/>
      <c r="Q24" s="768"/>
      <c r="R24" s="768"/>
      <c r="S24" s="768"/>
    </row>
    <row r="25" spans="5:19" ht="15" customHeight="1">
      <c r="E25" s="768"/>
      <c r="F25" s="768"/>
      <c r="G25" s="768"/>
      <c r="H25" s="768"/>
      <c r="I25" s="768"/>
      <c r="J25" s="768"/>
      <c r="K25" s="768"/>
      <c r="L25" s="768"/>
      <c r="M25" s="768"/>
      <c r="N25" s="768"/>
      <c r="O25" s="768"/>
      <c r="P25" s="768"/>
      <c r="Q25" s="768"/>
      <c r="R25" s="768"/>
      <c r="S25" s="768"/>
    </row>
    <row r="26" spans="5:19" ht="15" customHeight="1">
      <c r="E26" s="768"/>
      <c r="F26" s="768"/>
      <c r="G26" s="768"/>
      <c r="H26" s="768"/>
      <c r="I26" s="768"/>
      <c r="J26" s="768"/>
      <c r="K26" s="768"/>
      <c r="L26" s="768"/>
      <c r="M26" s="768"/>
      <c r="N26" s="768"/>
      <c r="O26" s="768"/>
      <c r="P26" s="768"/>
      <c r="Q26" s="768"/>
      <c r="R26" s="768"/>
      <c r="S26" s="768"/>
    </row>
    <row r="27" spans="5:19" ht="15" customHeight="1">
      <c r="E27" s="768"/>
      <c r="F27" s="768"/>
      <c r="G27" s="768"/>
      <c r="H27" s="768"/>
      <c r="I27" s="768"/>
      <c r="J27" s="768"/>
      <c r="K27" s="768"/>
      <c r="L27" s="768"/>
      <c r="M27" s="768"/>
      <c r="N27" s="768"/>
      <c r="O27" s="768"/>
      <c r="P27" s="768"/>
      <c r="Q27" s="768"/>
      <c r="R27" s="768"/>
      <c r="S27" s="768"/>
    </row>
    <row r="28" spans="5:19" ht="15" customHeight="1">
      <c r="E28" s="768"/>
      <c r="F28" s="768"/>
      <c r="G28" s="768"/>
      <c r="H28" s="768"/>
      <c r="I28" s="768"/>
      <c r="J28" s="768"/>
      <c r="K28" s="768"/>
      <c r="L28" s="768"/>
      <c r="M28" s="768"/>
      <c r="N28" s="768"/>
      <c r="O28" s="768"/>
      <c r="P28" s="768"/>
      <c r="Q28" s="768"/>
      <c r="R28" s="768"/>
      <c r="S28" s="768"/>
    </row>
    <row r="29" spans="5:19" ht="15" customHeight="1">
      <c r="E29" s="768"/>
      <c r="F29" s="768"/>
      <c r="G29" s="768"/>
      <c r="H29" s="768"/>
      <c r="I29" s="768"/>
      <c r="J29" s="768"/>
      <c r="K29" s="768"/>
      <c r="L29" s="768"/>
      <c r="M29" s="768"/>
      <c r="N29" s="768"/>
      <c r="O29" s="768"/>
      <c r="P29" s="768"/>
      <c r="Q29" s="768"/>
      <c r="R29" s="768"/>
      <c r="S29" s="768"/>
    </row>
    <row r="30" spans="5:19" ht="15" customHeight="1">
      <c r="E30" s="768"/>
      <c r="F30" s="768"/>
      <c r="G30" s="768"/>
      <c r="H30" s="768"/>
      <c r="I30" s="768"/>
      <c r="J30" s="768"/>
      <c r="K30" s="768"/>
      <c r="L30" s="768"/>
      <c r="M30" s="768"/>
      <c r="N30" s="768"/>
      <c r="O30" s="768"/>
      <c r="P30" s="768"/>
      <c r="Q30" s="768"/>
      <c r="R30" s="768"/>
      <c r="S30" s="768"/>
    </row>
    <row r="31" spans="5:19" ht="15" customHeight="1">
      <c r="E31" s="768"/>
      <c r="F31" s="768"/>
      <c r="G31" s="768"/>
      <c r="H31" s="768"/>
      <c r="I31" s="768"/>
      <c r="J31" s="768"/>
      <c r="K31" s="768"/>
      <c r="L31" s="768"/>
      <c r="M31" s="768"/>
      <c r="N31" s="768"/>
      <c r="O31" s="768"/>
      <c r="P31" s="768"/>
      <c r="Q31" s="768"/>
      <c r="R31" s="768"/>
      <c r="S31" s="768"/>
    </row>
    <row r="32" spans="5:19" ht="15" customHeight="1">
      <c r="E32" s="768"/>
      <c r="F32" s="768"/>
      <c r="G32" s="768"/>
      <c r="H32" s="768"/>
      <c r="I32" s="768"/>
      <c r="J32" s="768"/>
      <c r="K32" s="768"/>
      <c r="L32" s="768"/>
      <c r="M32" s="768"/>
      <c r="N32" s="768"/>
      <c r="O32" s="768"/>
      <c r="P32" s="768"/>
      <c r="Q32" s="768"/>
      <c r="R32" s="768"/>
      <c r="S32" s="768"/>
    </row>
    <row r="33" spans="5:19" ht="15" customHeight="1">
      <c r="E33" s="768"/>
      <c r="F33" s="768"/>
      <c r="G33" s="768"/>
      <c r="H33" s="768"/>
      <c r="I33" s="768"/>
      <c r="J33" s="768"/>
      <c r="K33" s="768"/>
      <c r="L33" s="768"/>
      <c r="M33" s="768"/>
      <c r="N33" s="768"/>
      <c r="O33" s="768"/>
      <c r="P33" s="768"/>
      <c r="Q33" s="768"/>
      <c r="R33" s="768"/>
      <c r="S33" s="768"/>
    </row>
    <row r="34" spans="5:19" ht="15" customHeight="1">
      <c r="E34" s="768"/>
      <c r="F34" s="768"/>
      <c r="G34" s="768"/>
      <c r="H34" s="768"/>
      <c r="I34" s="768"/>
      <c r="J34" s="768"/>
      <c r="K34" s="768"/>
      <c r="L34" s="768"/>
      <c r="M34" s="768"/>
      <c r="N34" s="768"/>
      <c r="O34" s="768"/>
      <c r="P34" s="768"/>
      <c r="Q34" s="768"/>
      <c r="R34" s="768"/>
      <c r="S34" s="768"/>
    </row>
    <row r="35" spans="5:19" ht="15" customHeight="1">
      <c r="E35" s="768"/>
      <c r="F35" s="768"/>
      <c r="G35" s="768"/>
      <c r="H35" s="768"/>
      <c r="I35" s="768"/>
      <c r="J35" s="768"/>
      <c r="K35" s="768"/>
      <c r="L35" s="768"/>
      <c r="M35" s="768"/>
      <c r="N35" s="768"/>
      <c r="O35" s="768"/>
      <c r="P35" s="768"/>
      <c r="Q35" s="768"/>
      <c r="R35" s="768"/>
      <c r="S35" s="768"/>
    </row>
    <row r="36" spans="5:19" ht="15" customHeight="1">
      <c r="E36" s="768"/>
      <c r="F36" s="768"/>
      <c r="G36" s="768"/>
      <c r="H36" s="768"/>
      <c r="I36" s="768"/>
      <c r="J36" s="768"/>
      <c r="K36" s="768"/>
      <c r="L36" s="768"/>
      <c r="M36" s="768"/>
      <c r="N36" s="768"/>
      <c r="O36" s="768"/>
      <c r="P36" s="768"/>
      <c r="Q36" s="768"/>
      <c r="R36" s="768"/>
      <c r="S36" s="768"/>
    </row>
    <row r="37" spans="5:19" ht="15" customHeight="1">
      <c r="E37" s="768"/>
      <c r="F37" s="768"/>
      <c r="G37" s="768"/>
      <c r="H37" s="768"/>
      <c r="I37" s="768"/>
      <c r="J37" s="768"/>
      <c r="K37" s="768"/>
      <c r="L37" s="768"/>
      <c r="M37" s="768"/>
      <c r="N37" s="768"/>
      <c r="O37" s="768"/>
      <c r="P37" s="768"/>
      <c r="Q37" s="768"/>
      <c r="R37" s="768"/>
      <c r="S37" s="768"/>
    </row>
    <row r="38" spans="5:19" ht="15" customHeight="1">
      <c r="E38" s="401"/>
      <c r="F38" s="401"/>
      <c r="G38" s="401"/>
      <c r="H38" s="401"/>
      <c r="I38" s="401"/>
      <c r="J38" s="401"/>
      <c r="K38" s="401"/>
      <c r="L38" s="401"/>
      <c r="M38" s="401"/>
      <c r="N38" s="401"/>
      <c r="O38" s="401"/>
      <c r="P38" s="401"/>
      <c r="Q38" s="401"/>
      <c r="R38" s="401"/>
      <c r="S38" s="401"/>
    </row>
    <row r="39" spans="5:19" ht="15" customHeight="1">
      <c r="E39" s="401"/>
      <c r="F39" s="401"/>
      <c r="G39" s="401"/>
      <c r="H39" s="401"/>
      <c r="I39" s="401"/>
      <c r="J39" s="401"/>
      <c r="K39" s="401"/>
      <c r="L39" s="439"/>
      <c r="M39" s="401"/>
      <c r="N39" s="401"/>
      <c r="O39" s="401"/>
      <c r="P39" s="401"/>
      <c r="Q39" s="401"/>
      <c r="R39" s="401"/>
      <c r="S39" s="401"/>
    </row>
    <row r="40" spans="5:19" ht="25.5">
      <c r="K40" s="401"/>
      <c r="L40" s="439"/>
    </row>
    <row r="41" spans="5:19" ht="23.1" customHeight="1">
      <c r="E41" s="767" t="s">
        <v>413</v>
      </c>
      <c r="F41" s="767"/>
      <c r="G41" s="767"/>
      <c r="H41" s="767"/>
      <c r="I41" s="767"/>
      <c r="J41" s="767"/>
      <c r="K41" s="767"/>
      <c r="L41" s="401"/>
      <c r="Q41" s="765" t="s">
        <v>414</v>
      </c>
      <c r="R41" s="765"/>
      <c r="S41" s="765"/>
    </row>
  </sheetData>
  <sheetProtection algorithmName="SHA-512" hashValue="Ic7MBe0MGRgIFHLpZ52/Rehc9E90J8Rgh/PMYWbI4WXGwf7wJBwjXjstxIYoQTiGSd/24jdMqC6LkpLWyRcgow==" saltValue="GzVnGiHFhdF2Pu8LcwpVVA==" spinCount="100000" sheet="1" objects="1" scenarios="1"/>
  <mergeCells count="6">
    <mergeCell ref="J6:N6"/>
    <mergeCell ref="Q41:S41"/>
    <mergeCell ref="I9:O9"/>
    <mergeCell ref="E41:K41"/>
    <mergeCell ref="E17:S37"/>
    <mergeCell ref="E12:S1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22AE8E0-F80C-4A8D-97B4-D2E45630EDB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7</vt:i4>
      </vt:variant>
    </vt:vector>
  </HeadingPairs>
  <TitlesOfParts>
    <vt:vector size="21" baseType="lpstr">
      <vt:lpstr>Данные</vt:lpstr>
      <vt:lpstr>Световые полки LT10,11 LT30,31</vt:lpstr>
      <vt:lpstr>Фасады серии MZ,MF</vt:lpstr>
      <vt:lpstr>Схема присадки фасадов</vt:lpstr>
      <vt:lpstr>MZ</vt:lpstr>
      <vt:lpstr>MF</vt:lpstr>
      <vt:lpstr>LT10,30</vt:lpstr>
      <vt:lpstr>СТЕКЛО</vt:lpstr>
      <vt:lpstr>ГС</vt:lpstr>
      <vt:lpstr>КС нов</vt:lpstr>
      <vt:lpstr>Фото петель</vt:lpstr>
      <vt:lpstr>Фото наполнений</vt:lpstr>
      <vt:lpstr>Расчет размеров наполнения</vt:lpstr>
      <vt:lpstr>О порядках приёмки и претензий</vt:lpstr>
      <vt:lpstr>ВИД_С_ЛИЦЕВОЙ_СТОРОНЫ</vt:lpstr>
      <vt:lpstr>курс</vt:lpstr>
      <vt:lpstr>курсLT</vt:lpstr>
      <vt:lpstr>'Световые полки LT10,11 LT30,31'!Область_печати</vt:lpstr>
      <vt:lpstr>СТЕКЛО!Область_печати</vt:lpstr>
      <vt:lpstr>'Схема присадки фасадов'!Область_печати</vt:lpstr>
      <vt:lpstr>'Фасады серии MZ,MF'!Область_печати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 13</cp:lastModifiedBy>
  <cp:lastPrinted>2026-09-01T12:09:13Z</cp:lastPrinted>
  <dcterms:created xsi:type="dcterms:W3CDTF">2020-02-17T08:50:23Z</dcterms:created>
  <dcterms:modified xsi:type="dcterms:W3CDTF">2026-09-01T12:09:21Z</dcterms:modified>
</cp:coreProperties>
</file>